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80" windowWidth="9450" windowHeight="6675" tabRatio="634" activeTab="1"/>
  </bookViews>
  <sheets>
    <sheet name="الكلفه  للسنوات" sheetId="38" r:id="rId1"/>
    <sheet name="مؤشرات" sheetId="21" r:id="rId2"/>
    <sheet name="مخطط المؤشرات" sheetId="43" r:id="rId3"/>
    <sheet name="دور السكن ج" sheetId="19" r:id="rId4"/>
    <sheet name="دور السكن م" sheetId="20" r:id="rId5"/>
    <sheet name="عمارات سكنيه ج و م" sheetId="25" r:id="rId6"/>
    <sheet name="عمارات تجاريه ج" sheetId="27" r:id="rId7"/>
    <sheet name="عمارات تجاريه م" sheetId="28" r:id="rId8"/>
    <sheet name="ابنيه صناعيه ج" sheetId="34" r:id="rId9"/>
    <sheet name="صناعي اضافة" sheetId="57" r:id="rId10"/>
    <sheet name="ابنيه تجاريه ج" sheetId="36" r:id="rId11"/>
    <sheet name="ابنيه تجاريه م" sheetId="37" r:id="rId12"/>
    <sheet name="ابنيه اجتماعيه ج" sheetId="30" r:id="rId13"/>
    <sheet name="ابنيه اجتماعيه م" sheetId="31" r:id="rId14"/>
    <sheet name="العاملين" sheetId="22" r:id="rId15"/>
    <sheet name="مخطط العاملين" sheetId="46" r:id="rId16"/>
    <sheet name="طابوق" sheetId="32" r:id="rId17"/>
    <sheet name="بلوك" sheetId="18" r:id="rId18"/>
    <sheet name="مخطط الطابوق والبلوك" sheetId="48" r:id="rId19"/>
    <sheet name="حجر" sheetId="13" r:id="rId20"/>
    <sheet name="رمل" sheetId="7" r:id="rId21"/>
    <sheet name="حصى" sheetId="5" r:id="rId22"/>
    <sheet name="مخطط الحصى" sheetId="50" r:id="rId23"/>
    <sheet name="سمنت" sheetId="29" r:id="rId24"/>
    <sheet name="جص" sheetId="6" r:id="rId25"/>
    <sheet name="مخطط الجص والاسمنت" sheetId="53" r:id="rId26"/>
    <sheet name="كاشي 1" sheetId="11" r:id="rId27"/>
    <sheet name="كاشي2" sheetId="12" r:id="rId28"/>
    <sheet name="مخطط الكاشي" sheetId="55" r:id="rId29"/>
    <sheet name="حديد" sheetId="24" r:id="rId30"/>
    <sheet name="ابواب" sheetId="2" r:id="rId31"/>
    <sheet name="شبابيك" sheetId="1" r:id="rId32"/>
    <sheet name="ت.كهربائيه1" sheetId="4" r:id="rId33"/>
    <sheet name="ت.كهربائيه2" sheetId="3" r:id="rId34"/>
    <sheet name="ت.صحيه1" sheetId="9" r:id="rId35"/>
    <sheet name="ت.صحيه2" sheetId="8" r:id="rId36"/>
    <sheet name="ت.صحيه3" sheetId="10" r:id="rId37"/>
    <sheet name="مواد انشائيه1" sheetId="17" r:id="rId38"/>
    <sheet name="مواد انشائيه2" sheetId="16" r:id="rId39"/>
    <sheet name="مواد انشائيه3" sheetId="15" r:id="rId40"/>
    <sheet name="مواد انشائيه4" sheetId="39" r:id="rId41"/>
    <sheet name="الكلفه الكليه" sheetId="23" r:id="rId42"/>
    <sheet name="Sheet3" sheetId="59" r:id="rId43"/>
    <sheet name="Sheet1" sheetId="56" r:id="rId44"/>
  </sheets>
  <definedNames>
    <definedName name="_xlnm.Print_Area" localSheetId="0">'الكلفه  للسنوات'!$A$1:$H$22</definedName>
    <definedName name="_xlnm.Print_Area" localSheetId="6">'عمارات تجاريه ج'!$A$1:$K$25</definedName>
    <definedName name="_xlnm.Print_Area" localSheetId="7">'عمارات تجاريه م'!$A$1:$J$17</definedName>
    <definedName name="_xlnm.Print_Area" localSheetId="18">'مخطط الطابوق والبلوك'!$A$1:$M$29</definedName>
    <definedName name="_xlnm.Print_Area" localSheetId="40">'مواد انشائيه4'!$A$1:$K$27</definedName>
  </definedNames>
  <calcPr calcId="144525"/>
</workbook>
</file>

<file path=xl/calcChain.xml><?xml version="1.0" encoding="utf-8"?>
<calcChain xmlns="http://schemas.openxmlformats.org/spreadsheetml/2006/main">
  <c r="F24" i="24" l="1"/>
  <c r="K24" i="32" l="1"/>
  <c r="K9" i="32"/>
  <c r="J24" i="32"/>
  <c r="C24" i="32"/>
  <c r="C9" i="32"/>
  <c r="B24" i="32"/>
  <c r="H22" i="18"/>
  <c r="I22" i="18" l="1"/>
  <c r="G24" i="18"/>
  <c r="G23" i="18"/>
  <c r="K12" i="32"/>
  <c r="C12" i="32"/>
  <c r="C22" i="23" l="1"/>
  <c r="G24" i="12" l="1"/>
  <c r="H24" i="32"/>
  <c r="I24" i="32"/>
  <c r="G24" i="32"/>
  <c r="G20" i="32"/>
  <c r="G16" i="32"/>
  <c r="G9" i="32"/>
  <c r="G12" i="32"/>
  <c r="E24" i="32"/>
  <c r="D24" i="32"/>
  <c r="E21" i="32"/>
  <c r="E20" i="32"/>
  <c r="E10" i="10" l="1"/>
  <c r="E9" i="10"/>
  <c r="E24" i="10" s="1"/>
  <c r="E23" i="10"/>
  <c r="E22" i="10"/>
  <c r="E21" i="10"/>
  <c r="E20" i="10"/>
  <c r="E18" i="10"/>
  <c r="E17" i="10"/>
  <c r="E16" i="10"/>
  <c r="C15" i="12"/>
  <c r="G24" i="11"/>
  <c r="G15" i="11"/>
  <c r="C23" i="11"/>
  <c r="C21" i="11"/>
  <c r="C20" i="11"/>
  <c r="C16" i="11"/>
  <c r="C15" i="11"/>
  <c r="C14" i="11"/>
  <c r="C12" i="11"/>
  <c r="C10" i="11"/>
  <c r="C24" i="11" s="1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 s="1"/>
  <c r="I9" i="39"/>
  <c r="H24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9" i="39"/>
  <c r="K24" i="16"/>
  <c r="K16" i="16"/>
  <c r="C24" i="12" l="1"/>
  <c r="K13" i="16"/>
  <c r="H10" i="10"/>
  <c r="H11" i="10"/>
  <c r="H12" i="10"/>
  <c r="H14" i="10"/>
  <c r="H16" i="10"/>
  <c r="H17" i="10"/>
  <c r="H19" i="10"/>
  <c r="H20" i="10"/>
  <c r="H21" i="10"/>
  <c r="H22" i="10"/>
  <c r="H23" i="10"/>
  <c r="E24" i="9"/>
  <c r="E22" i="9"/>
  <c r="E24" i="39" l="1"/>
  <c r="E12" i="39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G24" i="16"/>
  <c r="G22" i="16"/>
  <c r="G21" i="16"/>
  <c r="G20" i="16"/>
  <c r="G19" i="16"/>
  <c r="G18" i="16"/>
  <c r="G15" i="16"/>
  <c r="G16" i="16"/>
  <c r="G17" i="16"/>
  <c r="G14" i="16"/>
  <c r="G13" i="16"/>
  <c r="G12" i="16"/>
  <c r="G11" i="16"/>
  <c r="C24" i="16"/>
  <c r="C9" i="16"/>
  <c r="E24" i="16"/>
  <c r="E21" i="16"/>
  <c r="E17" i="16"/>
  <c r="E12" i="16"/>
  <c r="E11" i="16"/>
  <c r="I24" i="17"/>
  <c r="I23" i="17"/>
  <c r="I21" i="17"/>
  <c r="I19" i="17"/>
  <c r="I14" i="17"/>
  <c r="I12" i="17"/>
  <c r="I10" i="17"/>
  <c r="C18" i="10"/>
  <c r="H18" i="10" s="1"/>
  <c r="C15" i="10"/>
  <c r="H15" i="10" s="1"/>
  <c r="C13" i="10"/>
  <c r="H13" i="10" s="1"/>
  <c r="C9" i="10"/>
  <c r="H9" i="10" s="1"/>
  <c r="H24" i="10" s="1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E24" i="8"/>
  <c r="E22" i="8"/>
  <c r="E21" i="8"/>
  <c r="E18" i="8"/>
  <c r="E16" i="8"/>
  <c r="E15" i="8"/>
  <c r="C24" i="8"/>
  <c r="C23" i="8"/>
  <c r="C22" i="8"/>
  <c r="C21" i="8"/>
  <c r="C20" i="8"/>
  <c r="C18" i="8"/>
  <c r="C17" i="8"/>
  <c r="C16" i="8"/>
  <c r="C10" i="8"/>
  <c r="C9" i="8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0" i="9"/>
  <c r="K9" i="9"/>
  <c r="I24" i="9"/>
  <c r="I22" i="9"/>
  <c r="I20" i="9"/>
  <c r="I18" i="9"/>
  <c r="I16" i="9"/>
  <c r="I15" i="9"/>
  <c r="I14" i="9"/>
  <c r="I12" i="9"/>
  <c r="I11" i="9"/>
  <c r="I10" i="9"/>
  <c r="I9" i="9"/>
  <c r="G24" i="9"/>
  <c r="G23" i="9"/>
  <c r="G22" i="9"/>
  <c r="G21" i="9"/>
  <c r="G20" i="9"/>
  <c r="G19" i="9"/>
  <c r="G17" i="9"/>
  <c r="G16" i="9"/>
  <c r="G12" i="9"/>
  <c r="G11" i="9"/>
  <c r="G10" i="9"/>
  <c r="G9" i="9"/>
  <c r="E18" i="9"/>
  <c r="E15" i="9"/>
  <c r="E14" i="9"/>
  <c r="C24" i="9"/>
  <c r="C21" i="9"/>
  <c r="C16" i="9"/>
  <c r="C10" i="9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F24" i="3" s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C23" i="4"/>
  <c r="G23" i="3" s="1"/>
  <c r="C22" i="4"/>
  <c r="G22" i="3" s="1"/>
  <c r="C21" i="4"/>
  <c r="G21" i="3" s="1"/>
  <c r="C20" i="4"/>
  <c r="G20" i="3" s="1"/>
  <c r="C19" i="4"/>
  <c r="G19" i="3" s="1"/>
  <c r="C18" i="4"/>
  <c r="G18" i="3" s="1"/>
  <c r="C17" i="4"/>
  <c r="G17" i="3" s="1"/>
  <c r="C16" i="4"/>
  <c r="G16" i="3" s="1"/>
  <c r="C15" i="4"/>
  <c r="G15" i="3" s="1"/>
  <c r="C14" i="4"/>
  <c r="G14" i="3" s="1"/>
  <c r="C13" i="4"/>
  <c r="G13" i="3" s="1"/>
  <c r="C12" i="4"/>
  <c r="G12" i="3" s="1"/>
  <c r="C11" i="4"/>
  <c r="G11" i="3" s="1"/>
  <c r="C10" i="4"/>
  <c r="G10" i="3" s="1"/>
  <c r="C9" i="4"/>
  <c r="G9" i="3" s="1"/>
  <c r="I24" i="1"/>
  <c r="G24" i="1"/>
  <c r="G18" i="1"/>
  <c r="C24" i="1"/>
  <c r="C23" i="1"/>
  <c r="C17" i="1"/>
  <c r="C15" i="1"/>
  <c r="C13" i="1"/>
  <c r="C11" i="1"/>
  <c r="C10" i="1"/>
  <c r="C9" i="1"/>
  <c r="K24" i="2"/>
  <c r="C24" i="2"/>
  <c r="C17" i="2"/>
  <c r="C25" i="7"/>
  <c r="C13" i="7"/>
  <c r="F11" i="13"/>
  <c r="F12" i="13"/>
  <c r="F13" i="13"/>
  <c r="F14" i="13"/>
  <c r="F15" i="13"/>
  <c r="F10" i="13"/>
  <c r="F16" i="13" s="1"/>
  <c r="E11" i="13"/>
  <c r="E12" i="13"/>
  <c r="E13" i="13"/>
  <c r="E14" i="13"/>
  <c r="E15" i="13"/>
  <c r="E10" i="13"/>
  <c r="E16" i="13" s="1"/>
  <c r="C11" i="13"/>
  <c r="G11" i="13" s="1"/>
  <c r="C12" i="13"/>
  <c r="G12" i="13" s="1"/>
  <c r="C13" i="13"/>
  <c r="G13" i="13" s="1"/>
  <c r="C14" i="13"/>
  <c r="G14" i="13" s="1"/>
  <c r="C15" i="13"/>
  <c r="G15" i="13" s="1"/>
  <c r="C10" i="13"/>
  <c r="G10" i="13" s="1"/>
  <c r="G16" i="13" s="1"/>
  <c r="E25" i="6"/>
  <c r="E16" i="6"/>
  <c r="C25" i="6"/>
  <c r="C24" i="6"/>
  <c r="C17" i="6"/>
  <c r="C15" i="6"/>
  <c r="C14" i="6"/>
  <c r="C13" i="6"/>
  <c r="G26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11" i="5"/>
  <c r="F26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E25" i="7"/>
  <c r="E18" i="7"/>
  <c r="E11" i="7"/>
  <c r="C23" i="7"/>
  <c r="C22" i="7"/>
  <c r="C20" i="7"/>
  <c r="C16" i="13" l="1"/>
  <c r="C24" i="10"/>
  <c r="E24" i="4"/>
  <c r="G24" i="4"/>
  <c r="I24" i="4"/>
  <c r="G24" i="3"/>
  <c r="C24" i="4"/>
  <c r="D16" i="13"/>
  <c r="B16" i="13"/>
  <c r="F10" i="24" l="1"/>
  <c r="B8" i="23" s="1"/>
  <c r="D8" i="23" s="1"/>
  <c r="F11" i="24"/>
  <c r="B9" i="23" s="1"/>
  <c r="D9" i="23" s="1"/>
  <c r="F12" i="24"/>
  <c r="B10" i="23" s="1"/>
  <c r="D10" i="23" s="1"/>
  <c r="F13" i="24"/>
  <c r="B11" i="23" s="1"/>
  <c r="D11" i="23" s="1"/>
  <c r="F14" i="24"/>
  <c r="B12" i="23" s="1"/>
  <c r="D12" i="23" s="1"/>
  <c r="F15" i="24"/>
  <c r="B13" i="23" s="1"/>
  <c r="D13" i="23" s="1"/>
  <c r="F16" i="24"/>
  <c r="B14" i="23" s="1"/>
  <c r="D14" i="23" s="1"/>
  <c r="F17" i="24"/>
  <c r="B15" i="23" s="1"/>
  <c r="D15" i="23" s="1"/>
  <c r="F18" i="24"/>
  <c r="B16" i="23" s="1"/>
  <c r="D16" i="23" s="1"/>
  <c r="F19" i="24"/>
  <c r="B17" i="23" s="1"/>
  <c r="D17" i="23" s="1"/>
  <c r="F20" i="24"/>
  <c r="B18" i="23" s="1"/>
  <c r="D18" i="23" s="1"/>
  <c r="F21" i="24"/>
  <c r="B19" i="23" s="1"/>
  <c r="D19" i="23" s="1"/>
  <c r="F22" i="24"/>
  <c r="B20" i="23" s="1"/>
  <c r="D20" i="23" s="1"/>
  <c r="F23" i="24"/>
  <c r="B21" i="23" s="1"/>
  <c r="D21" i="23" s="1"/>
  <c r="F9" i="24"/>
  <c r="B7" i="23" s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F25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10" i="6"/>
  <c r="D25" i="6"/>
  <c r="B25" i="6"/>
  <c r="I24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9" i="29"/>
  <c r="H24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9" i="29"/>
  <c r="G24" i="29"/>
  <c r="F24" i="29"/>
  <c r="E24" i="29"/>
  <c r="D24" i="29"/>
  <c r="C24" i="29"/>
  <c r="B24" i="29"/>
  <c r="F25" i="7"/>
  <c r="D25" i="7"/>
  <c r="B25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10" i="7"/>
  <c r="F24" i="18"/>
  <c r="E24" i="18"/>
  <c r="D24" i="18"/>
  <c r="C24" i="18"/>
  <c r="B24" i="18"/>
  <c r="K10" i="32"/>
  <c r="K11" i="32"/>
  <c r="K13" i="32"/>
  <c r="K14" i="32"/>
  <c r="K15" i="32"/>
  <c r="K16" i="32"/>
  <c r="K17" i="32"/>
  <c r="K18" i="32"/>
  <c r="K19" i="32"/>
  <c r="K20" i="32"/>
  <c r="K21" i="32"/>
  <c r="K22" i="32"/>
  <c r="K23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9" i="32"/>
  <c r="D7" i="23" l="1"/>
  <c r="B22" i="23"/>
  <c r="D22" i="23" s="1"/>
  <c r="G25" i="6"/>
  <c r="G25" i="7"/>
  <c r="K15" i="21"/>
  <c r="J15" i="21"/>
  <c r="H15" i="21"/>
  <c r="G15" i="21"/>
  <c r="F15" i="21"/>
  <c r="E15" i="21"/>
  <c r="D15" i="21"/>
  <c r="C15" i="21"/>
  <c r="K14" i="21"/>
  <c r="J14" i="21"/>
  <c r="I14" i="21"/>
  <c r="K13" i="21"/>
  <c r="J13" i="21"/>
  <c r="I13" i="21"/>
  <c r="K12" i="21"/>
  <c r="J12" i="21"/>
  <c r="I12" i="21"/>
  <c r="K11" i="21"/>
  <c r="J11" i="21"/>
  <c r="I11" i="21"/>
  <c r="I13" i="28"/>
  <c r="C13" i="28"/>
  <c r="K10" i="21"/>
  <c r="J10" i="21"/>
  <c r="I10" i="21"/>
  <c r="I15" i="21" s="1"/>
  <c r="H25" i="25"/>
  <c r="G25" i="25"/>
  <c r="F25" i="25"/>
  <c r="D25" i="25"/>
  <c r="C25" i="25"/>
  <c r="K9" i="21"/>
  <c r="J9" i="21"/>
  <c r="I9" i="21"/>
  <c r="K23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8" i="22"/>
  <c r="J23" i="22"/>
  <c r="I23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8" i="22"/>
  <c r="H23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8" i="22"/>
  <c r="G23" i="22"/>
  <c r="F23" i="22"/>
  <c r="E23" i="22"/>
  <c r="D23" i="22"/>
  <c r="C23" i="22"/>
  <c r="B23" i="22"/>
  <c r="F11" i="31"/>
  <c r="E11" i="31"/>
  <c r="D11" i="31"/>
  <c r="C11" i="31"/>
  <c r="C18" i="30"/>
  <c r="D18" i="30"/>
  <c r="H18" i="30"/>
  <c r="G18" i="30"/>
  <c r="F18" i="30"/>
  <c r="E18" i="30"/>
  <c r="D12" i="37"/>
  <c r="C12" i="37"/>
  <c r="B12" i="37"/>
  <c r="G19" i="36"/>
  <c r="F19" i="36"/>
  <c r="E19" i="36"/>
  <c r="D19" i="36"/>
  <c r="C19" i="36"/>
  <c r="B19" i="36"/>
  <c r="E12" i="57"/>
  <c r="D12" i="57"/>
  <c r="C12" i="57"/>
  <c r="B12" i="57"/>
  <c r="H15" i="34"/>
  <c r="G15" i="34"/>
  <c r="F15" i="34"/>
  <c r="E15" i="34"/>
  <c r="D15" i="34"/>
  <c r="C15" i="34"/>
  <c r="H13" i="28"/>
  <c r="G13" i="28"/>
  <c r="F13" i="28"/>
  <c r="E13" i="28"/>
  <c r="D13" i="28"/>
  <c r="J22" i="27"/>
  <c r="I22" i="27"/>
  <c r="H22" i="27"/>
  <c r="G22" i="27"/>
  <c r="F22" i="27"/>
  <c r="E22" i="27"/>
  <c r="D22" i="27"/>
  <c r="C22" i="27"/>
  <c r="I12" i="25"/>
  <c r="H12" i="25"/>
  <c r="G12" i="25"/>
  <c r="F12" i="25"/>
  <c r="E12" i="25"/>
  <c r="D12" i="25"/>
  <c r="C12" i="25"/>
  <c r="F24" i="20"/>
  <c r="E24" i="20"/>
  <c r="D24" i="20"/>
  <c r="C24" i="20"/>
  <c r="B24" i="20"/>
  <c r="G24" i="19"/>
  <c r="F24" i="19"/>
  <c r="E24" i="19"/>
  <c r="D24" i="19"/>
  <c r="C24" i="19"/>
  <c r="B24" i="19"/>
  <c r="E60" i="8" l="1"/>
  <c r="E59" i="8"/>
  <c r="E58" i="8"/>
  <c r="E57" i="8"/>
  <c r="E56" i="8"/>
  <c r="E55" i="8"/>
  <c r="E54" i="8"/>
  <c r="E53" i="8"/>
  <c r="E52" i="8"/>
  <c r="E51" i="8"/>
  <c r="E50" i="8"/>
  <c r="E49" i="8"/>
  <c r="E48" i="8"/>
  <c r="E47" i="8"/>
</calcChain>
</file>

<file path=xl/comments1.xml><?xml version="1.0" encoding="utf-8"?>
<comments xmlns="http://schemas.openxmlformats.org/spreadsheetml/2006/main">
  <authors>
    <author>Ali Jaber</author>
    <author>ammar</author>
  </authors>
  <commentList>
    <comment ref="A9" authorId="0">
      <text>
        <r>
          <rPr>
            <b/>
            <sz val="9"/>
            <color indexed="81"/>
            <rFont val="Tahoma"/>
            <charset val="178"/>
          </rPr>
          <t>Ali Jaber:</t>
        </r>
        <r>
          <rPr>
            <sz val="9"/>
            <color indexed="81"/>
            <rFont val="Tahoma"/>
            <charset val="178"/>
          </rPr>
          <t xml:space="preserve">
</t>
        </r>
      </text>
    </comment>
    <comment ref="E24" authorId="1">
      <text>
        <r>
          <rPr>
            <b/>
            <sz val="9"/>
            <color indexed="81"/>
            <rFont val="Tahoma"/>
            <family val="2"/>
          </rPr>
          <t>ammar: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<sst xmlns="http://schemas.openxmlformats.org/spreadsheetml/2006/main" count="2004" uniqueCount="502">
  <si>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</si>
  <si>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</si>
  <si>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</si>
  <si>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</si>
  <si>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</si>
  <si>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</si>
  <si>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</si>
  <si>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</si>
  <si>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</si>
  <si>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</si>
  <si>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</si>
  <si>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</si>
  <si>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</si>
  <si>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</si>
  <si>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</si>
  <si>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</si>
  <si>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</si>
  <si>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</si>
  <si>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</si>
  <si>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</si>
  <si>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</si>
  <si>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</si>
  <si>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</si>
  <si>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</si>
  <si>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Kerbela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</si>
  <si>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</si>
  <si>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</si>
  <si>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</si>
  <si>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</si>
  <si>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</si>
  <si>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</si>
  <si>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</si>
  <si>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</si>
  <si>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</si>
  <si>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</si>
  <si>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</si>
  <si>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طن</t>
  </si>
  <si>
    <t>سركت بريكر</t>
  </si>
  <si>
    <t>خشبية</t>
  </si>
  <si>
    <t>حديدية</t>
  </si>
  <si>
    <t>المنيوم</t>
  </si>
  <si>
    <t>انابيب بلاستيكية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</si>
  <si>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</si>
  <si>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</si>
  <si>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</si>
  <si>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</si>
  <si>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</si>
  <si>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</si>
  <si>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</si>
  <si>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</si>
  <si>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</si>
  <si>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</si>
  <si>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</si>
  <si>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</si>
  <si>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</si>
  <si>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</si>
  <si>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</si>
  <si>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</si>
  <si>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</si>
  <si>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موزائيك</t>
  </si>
  <si>
    <t>موزائيك صب موقعي</t>
  </si>
  <si>
    <t>مرمر</t>
  </si>
  <si>
    <t>شتايكر</t>
  </si>
  <si>
    <t>صبات درج</t>
  </si>
  <si>
    <t>خشب</t>
  </si>
  <si>
    <t>عدد</t>
  </si>
  <si>
    <t>لتر</t>
  </si>
  <si>
    <t>لباد</t>
  </si>
  <si>
    <t>مبيد حشرات</t>
  </si>
  <si>
    <t>مانع الرطوبة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</si>
  <si>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</si>
  <si>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</si>
  <si>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</si>
  <si>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</si>
  <si>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</si>
  <si>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</si>
  <si>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</si>
  <si>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</si>
  <si>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</si>
  <si>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</si>
  <si>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</si>
  <si>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</si>
  <si>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</si>
  <si>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</si>
  <si>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</si>
  <si>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</si>
  <si>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</si>
  <si>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</si>
  <si>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</si>
  <si>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</si>
  <si>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</si>
  <si>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Wages</t>
  </si>
  <si>
    <t>جدول رقم (17)</t>
  </si>
  <si>
    <t>Table (17)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</si>
  <si>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</si>
  <si>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</si>
  <si>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</si>
  <si>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</si>
  <si>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</si>
  <si>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</si>
  <si>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</si>
  <si>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</si>
  <si>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</si>
  <si>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</si>
  <si>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>Table ( 6 )</t>
  </si>
  <si>
    <t>TOTAL</t>
  </si>
  <si>
    <t>Table ( 7 )</t>
  </si>
  <si>
    <t>Table ( 8 )</t>
  </si>
  <si>
    <t>مقاوم</t>
  </si>
  <si>
    <t>ابيض</t>
  </si>
  <si>
    <t>Table (13)</t>
  </si>
  <si>
    <t>جدول رقم ( 14 )</t>
  </si>
  <si>
    <t xml:space="preserve">Table( 14 ) 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</si>
  <si>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</si>
  <si>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</si>
  <si>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</si>
  <si>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</si>
  <si>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</si>
  <si>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جدول ( 12 )</t>
  </si>
  <si>
    <t xml:space="preserve"> Table ( 12 )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</si>
  <si>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</si>
  <si>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</si>
  <si>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</si>
  <si>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</si>
  <si>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</si>
  <si>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</si>
  <si>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</si>
  <si>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(000 I.D.)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</si>
  <si>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</si>
  <si>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</si>
  <si>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</si>
  <si>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</si>
  <si>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</si>
  <si>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</si>
  <si>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</si>
  <si>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</si>
  <si>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</si>
  <si>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</si>
  <si>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</si>
  <si>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</si>
  <si>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</si>
  <si>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</si>
  <si>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</si>
  <si>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</si>
  <si>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</si>
  <si>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</si>
  <si>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</si>
  <si>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</si>
  <si>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</si>
  <si>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</si>
  <si>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</si>
  <si>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</si>
  <si>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</si>
  <si>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</si>
  <si>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</si>
  <si>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</si>
  <si>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</si>
  <si>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</si>
  <si>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</si>
  <si>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 شبابيك</t>
  </si>
  <si>
    <t>Aluminum</t>
  </si>
  <si>
    <t>Wire</t>
  </si>
  <si>
    <t>Wood Jam</t>
  </si>
  <si>
    <t>Iron</t>
  </si>
  <si>
    <t>Normal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</si>
  <si>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</si>
  <si>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</si>
  <si>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</si>
  <si>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</si>
  <si>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</si>
  <si>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</si>
  <si>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</si>
  <si>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</si>
  <si>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</si>
  <si>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</si>
  <si>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</si>
  <si>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</si>
  <si>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</si>
  <si>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</si>
  <si>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</si>
  <si>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</si>
  <si>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</si>
  <si>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>Table ( 9 )</t>
  </si>
  <si>
    <t xml:space="preserve">Residential </t>
  </si>
  <si>
    <t>Social Purposes</t>
  </si>
  <si>
    <t>دكتات</t>
  </si>
  <si>
    <t>cost</t>
  </si>
  <si>
    <t>هايرب</t>
  </si>
  <si>
    <t xml:space="preserve">المجمـــوع    </t>
  </si>
  <si>
    <t>م²</t>
  </si>
  <si>
    <t xml:space="preserve">Table 16 </t>
  </si>
  <si>
    <t>cement</t>
  </si>
  <si>
    <t>مساحة العرصة (م)²</t>
  </si>
  <si>
    <t>م³</t>
  </si>
  <si>
    <t>تاسيسات صحية</t>
  </si>
  <si>
    <t>فلنتكـوت عازل</t>
  </si>
  <si>
    <t>NO.</t>
  </si>
  <si>
    <t>Table(1 )</t>
  </si>
  <si>
    <t>مساحة البناء م²</t>
  </si>
  <si>
    <t>مكسر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</si>
  <si>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</si>
  <si>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</si>
  <si>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</si>
  <si>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</si>
  <si>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</si>
  <si>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</si>
  <si>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</si>
  <si>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 عقاري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</si>
  <si>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</si>
  <si>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</si>
  <si>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</si>
  <si>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</si>
  <si>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</si>
  <si>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</si>
  <si>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</si>
  <si>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</si>
  <si>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</si>
  <si>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</si>
  <si>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</si>
  <si>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</si>
  <si>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</si>
  <si>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</si>
  <si>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</si>
  <si>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</si>
  <si>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</si>
  <si>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</si>
  <si>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</si>
  <si>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</si>
  <si>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</si>
  <si>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</si>
  <si>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</si>
  <si>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</si>
  <si>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</si>
  <si>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</si>
  <si>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</si>
  <si>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</si>
  <si>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</si>
  <si>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</si>
  <si>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شبابيك الدكتات</t>
  </si>
  <si>
    <t>Republican</t>
  </si>
  <si>
    <t>Real Estate</t>
  </si>
  <si>
    <t>Metal</t>
  </si>
  <si>
    <t>pluge</t>
  </si>
  <si>
    <t>Herp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</si>
  <si>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</si>
  <si>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</si>
  <si>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</si>
  <si>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</si>
  <si>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</si>
  <si>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</si>
  <si>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</si>
  <si>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</si>
  <si>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</si>
  <si>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</si>
  <si>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</si>
  <si>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</si>
  <si>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</si>
  <si>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</si>
  <si>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</si>
  <si>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</si>
  <si>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</si>
  <si>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انواع البناء</t>
  </si>
  <si>
    <t xml:space="preserve">con. ( 16 )              Other constuction material                                           </t>
  </si>
  <si>
    <t>الكلفة الكلية (مليون )</t>
  </si>
  <si>
    <t xml:space="preserve"> بلاط الارضية     (كاشي)</t>
  </si>
  <si>
    <t>Million</t>
  </si>
  <si>
    <t>Thrmeston</t>
  </si>
  <si>
    <t>Grit</t>
  </si>
  <si>
    <t>Marble</t>
  </si>
  <si>
    <t>Mosaic</t>
  </si>
  <si>
    <t xml:space="preserve">Mosaic </t>
  </si>
  <si>
    <t xml:space="preserve">cost </t>
  </si>
  <si>
    <t>Tar</t>
  </si>
  <si>
    <t>Duct</t>
  </si>
  <si>
    <t>Insecticide</t>
  </si>
  <si>
    <t>Flintcoat</t>
  </si>
  <si>
    <t>Duct windows</t>
  </si>
  <si>
    <t>Cast iron</t>
  </si>
  <si>
    <t>Wooden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</si>
  <si>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</si>
  <si>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</si>
  <si>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</si>
  <si>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</si>
  <si>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</si>
  <si>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</si>
  <si>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</si>
  <si>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</si>
  <si>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</si>
  <si>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</si>
  <si>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</si>
  <si>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</si>
  <si>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</si>
  <si>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</si>
  <si>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</si>
  <si>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</si>
  <si>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</si>
  <si>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</si>
  <si>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</si>
  <si>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</si>
  <si>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أضافات البناء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</si>
  <si>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</si>
  <si>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</si>
  <si>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</si>
  <si>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</si>
  <si>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</si>
  <si>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</si>
  <si>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</si>
  <si>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</si>
  <si>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</si>
  <si>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</si>
  <si>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</si>
  <si>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</si>
  <si>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  Cement Bricks</t>
  </si>
  <si>
    <t xml:space="preserve">Con. ( 16)  </t>
  </si>
  <si>
    <t>Con. (16)</t>
  </si>
  <si>
    <t>Plaster</t>
  </si>
  <si>
    <t>Floor Tile</t>
  </si>
  <si>
    <t xml:space="preserve">Con. ( 16)        </t>
  </si>
  <si>
    <t>FollowingTable ( 16 )</t>
  </si>
  <si>
    <t>Con. (16)         Doors</t>
  </si>
  <si>
    <t xml:space="preserve">Con. (16) </t>
  </si>
  <si>
    <t>Windows</t>
  </si>
  <si>
    <t>Electrical Enstallation</t>
  </si>
  <si>
    <t>Sanitary Enstallation</t>
  </si>
  <si>
    <t xml:space="preserve">         Plastic Tubes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</si>
  <si>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</si>
  <si>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</si>
  <si>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</si>
  <si>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</si>
  <si>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</si>
  <si>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</si>
  <si>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 xml:space="preserve">Con.  (16) </t>
  </si>
  <si>
    <t>7.158.371</t>
  </si>
  <si>
    <t>6.603.278</t>
  </si>
  <si>
    <t>Thousand</t>
  </si>
  <si>
    <t>Total Cost</t>
  </si>
  <si>
    <t xml:space="preserve">الانبار </t>
  </si>
  <si>
    <t>Al-Anbar</t>
  </si>
  <si>
    <t xml:space="preserve">المجموع </t>
  </si>
  <si>
    <t xml:space="preserve">البصرة </t>
  </si>
  <si>
    <t xml:space="preserve">عدد الطوابق </t>
  </si>
  <si>
    <t xml:space="preserve">عدد الغرف </t>
  </si>
  <si>
    <t>الانبار</t>
  </si>
  <si>
    <t xml:space="preserve">مجموع الكميات 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</si>
  <si>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</si>
  <si>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</si>
  <si>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</si>
  <si>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</si>
  <si>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</si>
  <si>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</si>
  <si>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</si>
  <si>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>1.932.360</t>
  </si>
  <si>
    <t>1.962.888</t>
  </si>
  <si>
    <t>1.231.567</t>
  </si>
  <si>
    <t>1.297.872</t>
  </si>
  <si>
    <t xml:space="preserve"> عدد</t>
  </si>
  <si>
    <t>نينوى</t>
  </si>
  <si>
    <t>Ninawa</t>
  </si>
  <si>
    <t>عدد الابنيه الصناعيه</t>
  </si>
  <si>
    <t>Hotels</t>
  </si>
  <si>
    <t>Building</t>
  </si>
  <si>
    <t>Other Commercil</t>
  </si>
  <si>
    <t>عدد الابنية التجارية الاخرى</t>
  </si>
  <si>
    <t>عدد الابنية الصحية</t>
  </si>
  <si>
    <t>Cultural</t>
  </si>
  <si>
    <t>Healthy</t>
  </si>
  <si>
    <t>ADDITIONS</t>
  </si>
  <si>
    <t>جدول (1)</t>
  </si>
  <si>
    <t>جدول (2)</t>
  </si>
  <si>
    <t>جدول  (3)              دور جديدة</t>
  </si>
  <si>
    <t>جدول  (5)</t>
  </si>
  <si>
    <t>جدول  (6)</t>
  </si>
  <si>
    <t>جدول  (7)</t>
  </si>
  <si>
    <t>جدول (8)</t>
  </si>
  <si>
    <t>Table ( 10 )</t>
  </si>
  <si>
    <t>جدول ( 11 )</t>
  </si>
  <si>
    <r>
      <rPr>
        <b/>
        <sz val="14"/>
        <rFont val="Arial"/>
        <family val="2"/>
      </rPr>
      <t>جدول</t>
    </r>
    <r>
      <rPr>
        <b/>
        <sz val="12"/>
        <rFont val="Arial"/>
        <family val="2"/>
      </rPr>
      <t xml:space="preserve">  (13)</t>
    </r>
  </si>
  <si>
    <t>جدول  (15)</t>
  </si>
  <si>
    <t>ثرمستون</t>
  </si>
  <si>
    <t>مواد  انشائية اخرى</t>
  </si>
  <si>
    <t>TOTL</t>
  </si>
  <si>
    <t>عدد العاملين (الف)</t>
  </si>
  <si>
    <t>Other Wages</t>
  </si>
  <si>
    <t>السنوات</t>
  </si>
  <si>
    <t xml:space="preserve">الكلفة الكلية </t>
  </si>
  <si>
    <t xml:space="preserve">قيمة المواد الانشائية </t>
  </si>
  <si>
    <t>عدد العاملين</t>
  </si>
  <si>
    <t xml:space="preserve"> العدد</t>
  </si>
  <si>
    <t>عدد الورشات</t>
  </si>
  <si>
    <t>Area of Land</t>
  </si>
  <si>
    <t>Al-najaf</t>
  </si>
  <si>
    <t>اضافة</t>
  </si>
  <si>
    <t>No</t>
  </si>
  <si>
    <t xml:space="preserve"> جدول ( 9 )   بناء جديد</t>
  </si>
  <si>
    <t>اصباغ زيتية</t>
  </si>
  <si>
    <t>انابيب كونكريتية</t>
  </si>
  <si>
    <t xml:space="preserve"> </t>
  </si>
  <si>
    <t>المجموع الكلي للكلفة</t>
  </si>
  <si>
    <t xml:space="preserve">     </t>
  </si>
  <si>
    <t xml:space="preserve"> دور السكن (الجديدة ) المنجزة  حسب المحافظات  لسنة 2020</t>
  </si>
  <si>
    <t xml:space="preserve"> COMPLETED DWELLINGS IN THE PRIVATE SECTOR BY GOVERNORATE  2020 </t>
  </si>
  <si>
    <t xml:space="preserve">   ADDITION TO HOUSING CONSTRUSTION COMPLETED   IN THE PRIVATE SECTOR BY GOVERNORATE  2020</t>
  </si>
  <si>
    <t xml:space="preserve"> العمارات السكنية (الجديدة ) المنجزة  في القطاع الخاص حسب المحافظات لسنة 2020</t>
  </si>
  <si>
    <t>COMPLETED RESIDENTIAL BUILDINGS IN THE PRIVATE SECTOR BY GOVERNORATE  2020</t>
  </si>
  <si>
    <t xml:space="preserve"> العمارات السكنية (المضافة) المنجزة  في القطاع الخاص حسب المحافظات لسنة 2020</t>
  </si>
  <si>
    <t>العمارات التجارية (الجديدة ) وملحقاتها المنجزة  حسب المحافظات لسنة 2020</t>
  </si>
  <si>
    <t xml:space="preserve">  COMPLETED COMMERCIAL( NEW) IN THE PRIVATE SECTOR BY GOVERNORATE   2020</t>
  </si>
  <si>
    <t xml:space="preserve">العمارات التجارية (المضافة) وملحقاتها المنجزة  حسب المحافظات لسنة 2020 </t>
  </si>
  <si>
    <t>COMPLETED COMMERCIAL BUILDINGS (ADDITION) IN THE PRIVATE SECTOR BY GOVERNORATE  2020</t>
  </si>
  <si>
    <t xml:space="preserve"> الابنية الصناعية (الجديدة )المنجزة في القطاع الخاص حسب المحافظات لسنة 2020</t>
  </si>
  <si>
    <t xml:space="preserve"> COMPLETED BUILDINGS( NEW) FOR THE  INDUSTRIAL PURPOSES  IN THE PRIVATE SECTOR BY GOVERNORATE FOR THE YAER 2020</t>
  </si>
  <si>
    <t xml:space="preserve"> الابنية الصناعية (المضافة)المنجزة في القطاع الخاص حسب المحافظات لسنة 2020</t>
  </si>
  <si>
    <t xml:space="preserve"> COMPLETED BUILDINGS( ADDITON) FOR THE  INDUSTRIAL PURPOSES  IN THE PRIVATE SECTOR BY GOVERNORATE FOR THE YAER 2020</t>
  </si>
  <si>
    <t xml:space="preserve"> COMPLETED BUILDINGS (NEW )FOR THE COMMERCIAL PURPOSES IN THE PRIVATE SECTOR BY GOVERNORATE 2020</t>
  </si>
  <si>
    <t xml:space="preserve"> الابنية (المضافة )المنجزة لاغراض التجارة في القطاع الخاص حسب المحافظات لسنة 2020</t>
  </si>
  <si>
    <t xml:space="preserve"> COMPLETED BUILDINGS  (ADDITION)  FOR THE COMMERCIAL PURPOSES IN THE PRIVATE SECTOR BY GOVERNORATE  2020</t>
  </si>
  <si>
    <t xml:space="preserve"> الابنية ( الجديدة ) المنجزة لاغراض الخدمات الاجتماعية في القطاع الخاص حسب المحافظات لسنة 2020</t>
  </si>
  <si>
    <t xml:space="preserve"> COMPLETED BUILDINGS ( NEW) FOR THE PURPOSES SOCIAL SERVICES IN THE PRIVATE SECTOR BY GOVERNORATE FOR THE YAER 2020</t>
  </si>
  <si>
    <t xml:space="preserve"> COMPLETED BUILDINGS ( ADDITION) FOR THE PURPOSES OF SOCIAL SERVICES IN THE PRIVATE SECTOR BY GOVERNORATE FOR THE YAER 2020</t>
  </si>
  <si>
    <t xml:space="preserve">Key INDICATORS ESTIMATION FOR COMPLETED BUILDINGS IN THE PRIVATE SECTOR BY TYPES OF BUILDING 2020       </t>
  </si>
  <si>
    <t>عدد الفنادق والمطاعم والكازينوات</t>
  </si>
  <si>
    <t xml:space="preserve">ملاحظة: بالنسبة للكازينوهات والمطاعم والفنادق والابنية التجارية لم تردنا لبقية المحافظات لسنة 2020 .  </t>
  </si>
  <si>
    <t xml:space="preserve">المثنى </t>
  </si>
  <si>
    <t xml:space="preserve">ذي قار </t>
  </si>
  <si>
    <t>ابنية دينية</t>
  </si>
  <si>
    <t>ملاحظة : بالنسبة للابنية الثقافية والصحية  لم تردنا اي اجازة لباقي المحافظات لسنة 2020.</t>
  </si>
  <si>
    <t>عدد الابنية الثقافية</t>
  </si>
  <si>
    <t>دينية</t>
  </si>
  <si>
    <t>عدد الابنية  الثقافية</t>
  </si>
  <si>
    <t xml:space="preserve"> العاملين ومجموع الاجور المدفوعة لهم حسب اصنافهم حسب المحافظات لسنة 2020  </t>
  </si>
  <si>
    <t xml:space="preserve"> EMPLOYEES AND WAGES IN THE PRIVATE SECTOR BY Kind and GOVERNORATE  2020 </t>
  </si>
  <si>
    <t xml:space="preserve">كمية وقيمة المواد الانشائية المستخدمة حسب المحافظات لسنة 2020  </t>
  </si>
  <si>
    <t xml:space="preserve">             QUANTITY AND COSTS FOR THE BUILDINGS MATERIAL BY GOVERNORAT  2020                   </t>
  </si>
  <si>
    <t>QUANTITY AND COSTS FOR THE BUILDINGS MATERIAL BY GOVERNORAT  2020</t>
  </si>
  <si>
    <t>QUANTITY AND COSTS FOR THE  BUILDINGS MATERIAL BY GOVERNORAT  2020</t>
  </si>
  <si>
    <t xml:space="preserve">كمية وقيمة المواد الانشائية المستخدمة حسب المحافظات لسنة 2020 </t>
  </si>
  <si>
    <t xml:space="preserve">                QUANTITY AND COSTS FOR THE  BUILDINGS MATERIAL BYGOVERNORAT  2020</t>
  </si>
  <si>
    <t xml:space="preserve">        QUANTITY AND COSTS FOR THE BUILDINGS MATERIAL BYGOVERNORAT  2020</t>
  </si>
  <si>
    <t xml:space="preserve">                              كمية وقيمة المواد الانشائية المستخدمة البناء حسب المحافظات لسنة 2020                       </t>
  </si>
  <si>
    <t xml:space="preserve">                                                         QUANTITY AND COSTS FOR THE BUILDINGS MATERIAL BY GOVERNORAT  2020</t>
  </si>
  <si>
    <t xml:space="preserve">كلفة المواد الانشائية المستخدمة والاجور المدفوعة لابنية القطاع الخاص حسب المحافظات لسنة 2020 </t>
  </si>
  <si>
    <t>COST OF CONSTRUCTION MATERIAL WAGESTRANSPORT IN THE PRIVATE SECTOR  BY GOVERNORATE  2020</t>
  </si>
  <si>
    <t xml:space="preserve">كمية وقيمة المواد الانشائية المستخدمة في البناء حسب المحافظات لسنة 2020  </t>
  </si>
  <si>
    <t xml:space="preserve">        QUANTITY AND COSTS FOR THE BUILDINGS MATERIAL BY GOVERNORAT  2020                                          </t>
  </si>
  <si>
    <t xml:space="preserve">كمية وقيمة المواد الانشائية المستخدمة في البناء حسب المحافظات لسنة 2020 </t>
  </si>
  <si>
    <t xml:space="preserve">           QUANTITY AND COSTS FOR THE BUILDINGS MATERIAL BY GOVERNORAT 2020                                            </t>
  </si>
  <si>
    <t xml:space="preserve"> QUANTITY AND COSTS FOR THE  BUILDINGS MATERIAL BY GOVERNORAT    2020                                                                                            </t>
  </si>
  <si>
    <t xml:space="preserve">QUANTITY AND COSTS FOR THE BUILDINGS MATERIAL BY GOVERNORAT  2020                                                                                 </t>
  </si>
  <si>
    <t xml:space="preserve">QUANTITY AND COSTS FOR THE  BUILDINGS MATERIAL BY GOVERNORAT FOR THE  YEAR 2020                                                                                                                                                       </t>
  </si>
  <si>
    <t>TOTAL COST OF BUILDING IN THE PRIVATE SECTOR FOR  (2008 -2020)</t>
  </si>
  <si>
    <t xml:space="preserve"> ملاحظة: بالنسبة  للفنادق للكازينوهات والمطاعم والأبنية التجارية الاخرى لم ترد لنا اي اجازة اضافة لباقي المحافظات لسنة 2020 .</t>
  </si>
  <si>
    <t xml:space="preserve">  الأضافات لدور السكن المنجزة  حسب المحافظات لسنة 2020</t>
  </si>
  <si>
    <t>جدول  (4)   أضافات البناء</t>
  </si>
  <si>
    <t>ملاحظة لم يتم منح اجازة اضافة لباقي المحافظات للابنية الصناعية لسنة 2020</t>
  </si>
  <si>
    <t xml:space="preserve"> الأبنية (الجديدة ) المنجزة لاغراض التجارة في القطاع الخاص حسب المحافظات لسنة 2020</t>
  </si>
  <si>
    <t>أبنية تجارية اخرى</t>
  </si>
  <si>
    <t xml:space="preserve"> الأبنية (المضافة) المنجزة لاغراض الخدمات الاجتماعية في القطاع الخاص حسب المحافظات لسنة 2020</t>
  </si>
  <si>
    <t>أضافة</t>
  </si>
  <si>
    <t>مجموع الاجور الكلية</t>
  </si>
  <si>
    <t>الأجور</t>
  </si>
  <si>
    <t>أجور الاخرى</t>
  </si>
  <si>
    <t xml:space="preserve">                                     المواد الانشائية المستخدمة حسب المحافظات لسنة 2020</t>
  </si>
  <si>
    <t xml:space="preserve">           QUANTITY AND COSTS FOR THE BUILDINGS MATERIAL BY GOVERNORAT  2020                    </t>
  </si>
  <si>
    <t>كمية وقيمة المواد الأنشائية المستخدمة حسب المحافظات لسنة 2020  (الكلفة : الف دينار )</t>
  </si>
  <si>
    <t>المجموع الكلي</t>
  </si>
  <si>
    <t xml:space="preserve">كمية وقيمة المواد الأنشائية المستخدمة في البناء حسب المحافظات لسنة 2020  </t>
  </si>
  <si>
    <t xml:space="preserve">مجموع ألكميات </t>
  </si>
  <si>
    <t>أسود</t>
  </si>
  <si>
    <t>أحمر</t>
  </si>
  <si>
    <t>قير</t>
  </si>
  <si>
    <t xml:space="preserve">                كمية وقيمة المواد الانشائية المستخدمة البناء حسب المحافظات لسنة 2020</t>
  </si>
  <si>
    <t xml:space="preserve">     قيمه المواد الانشائية(مليون)</t>
  </si>
  <si>
    <t xml:space="preserve"> الاجور المدفوعة    (مليون)</t>
  </si>
  <si>
    <t>عدد الدور المشيدة (الف)</t>
  </si>
  <si>
    <t xml:space="preserve"> العمارات السكنية(عدد) </t>
  </si>
  <si>
    <t>السنة</t>
  </si>
  <si>
    <t>الكلفة الكلية  لأبنية القطاع الخاص للسنوات ( 2008-2020)</t>
  </si>
  <si>
    <t>الكلفة:الف دينار</t>
  </si>
  <si>
    <t>الكلفة : الف دينار</t>
  </si>
  <si>
    <t>لتر       الكلفة</t>
  </si>
  <si>
    <t xml:space="preserve">   سقوف ثانوية</t>
  </si>
  <si>
    <t xml:space="preserve">  </t>
  </si>
  <si>
    <t>العدد : الف طابوقة</t>
  </si>
  <si>
    <t>العدد : الف بلوكة</t>
  </si>
  <si>
    <t xml:space="preserve"> تابع جدول  ( 16)</t>
  </si>
  <si>
    <t>تابع جدول  (16)</t>
  </si>
  <si>
    <t>تابع جدول  16</t>
  </si>
  <si>
    <t xml:space="preserve">    تابع جدول  (16)         سمنت</t>
  </si>
  <si>
    <t xml:space="preserve">  تابع جدول (16)</t>
  </si>
  <si>
    <t xml:space="preserve"> تابع جدول  (16)</t>
  </si>
  <si>
    <t>تابع جدول( 16 )            حديد</t>
  </si>
  <si>
    <t>تابع جدول (16)</t>
  </si>
  <si>
    <t>تابع جدول رقم (16)</t>
  </si>
  <si>
    <t xml:space="preserve"> تابع جدول  (16)            مواد انشائية اخرى</t>
  </si>
  <si>
    <t>الاجور المدفوعة</t>
  </si>
  <si>
    <t xml:space="preserve"> تابع جدول  (16 )</t>
  </si>
  <si>
    <t xml:space="preserve">      ملاحظة : لم تتوفر بيانات لمادة الحجر لسنة 2020 للمحافظات المتبقية</t>
  </si>
  <si>
    <t>شكل رقم (4)</t>
  </si>
  <si>
    <t>كمية المواد الانشائية المستخدمة حسب المحافظات لسنة 2020 مادة ( الطابوق والبلوك )</t>
  </si>
  <si>
    <r>
      <t xml:space="preserve">                            المؤشرات الرئيسة لتقديرات الابنية المنجزة </t>
    </r>
    <r>
      <rPr>
        <b/>
        <sz val="11"/>
        <rFont val="Calibri"/>
        <family val="2"/>
      </rPr>
      <t xml:space="preserve">̽ </t>
    </r>
    <r>
      <rPr>
        <b/>
        <sz val="11"/>
        <rFont val="Arial"/>
        <family val="2"/>
      </rPr>
      <t>في القطاع الخاص حسب أنواع البناء لسنة</t>
    </r>
  </si>
  <si>
    <t xml:space="preserve">(10 )جدول </t>
  </si>
  <si>
    <t xml:space="preserve">جدول (16)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</si>
</sst>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;[Red]0.00"/>
    <numFmt numFmtId="165" formatCode="#,##0;[Red]#,##0"/>
    <numFmt numFmtId="166" formatCode="#,##0_ ;[Red]\-#,##0\ "/>
    <numFmt numFmtId="167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8" tint="0.39997558519241921"/>
        <bgColor indexed="2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1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6" fillId="2" borderId="0" xfId="0" applyFont="1" applyFill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/>
    <xf numFmtId="0" fontId="13" fillId="6" borderId="0" xfId="0" applyFont="1" applyFill="1" applyBorder="1"/>
    <xf numFmtId="0" fontId="7" fillId="5" borderId="0" xfId="0" applyFont="1" applyFill="1"/>
    <xf numFmtId="0" fontId="7" fillId="2" borderId="2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/>
    <xf numFmtId="0" fontId="7" fillId="2" borderId="0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3" borderId="0" xfId="0" applyNumberFormat="1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left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left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2" borderId="0" xfId="8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5" borderId="0" xfId="0" applyFill="1"/>
    <xf numFmtId="3" fontId="7" fillId="6" borderId="0" xfId="0" applyNumberFormat="1" applyFont="1" applyFill="1" applyBorder="1" applyAlignment="1" applyProtection="1">
      <alignment horizontal="right" vertical="center"/>
      <protection locked="0"/>
    </xf>
    <xf numFmtId="3" fontId="7" fillId="5" borderId="0" xfId="0" applyNumberFormat="1" applyFont="1" applyFill="1" applyBorder="1" applyAlignment="1"/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right" vertical="center" wrapText="1"/>
    </xf>
    <xf numFmtId="1" fontId="7" fillId="4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/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3" fontId="7" fillId="6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8" fillId="0" borderId="0" xfId="0" applyFont="1"/>
    <xf numFmtId="0" fontId="8" fillId="7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7" borderId="1" xfId="0" applyNumberFormat="1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7" fillId="2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Alignment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wrapText="1" readingOrder="1"/>
    </xf>
    <xf numFmtId="3" fontId="7" fillId="5" borderId="0" xfId="0" applyNumberFormat="1" applyFont="1" applyFill="1" applyBorder="1" applyAlignment="1">
      <alignment horizontal="center"/>
    </xf>
    <xf numFmtId="3" fontId="7" fillId="6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/>
      <protection locked="0"/>
    </xf>
    <xf numFmtId="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0" fillId="0" borderId="0" xfId="0" applyFill="1"/>
    <xf numFmtId="0" fontId="0" fillId="6" borderId="0" xfId="0" applyFill="1"/>
    <xf numFmtId="0" fontId="7" fillId="6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 wrapText="1" readingOrder="1"/>
    </xf>
    <xf numFmtId="1" fontId="15" fillId="4" borderId="0" xfId="0" applyNumberFormat="1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0" fillId="6" borderId="0" xfId="0" applyFill="1" applyBorder="1"/>
    <xf numFmtId="0" fontId="0" fillId="5" borderId="0" xfId="0" applyFill="1" applyBorder="1"/>
    <xf numFmtId="1" fontId="7" fillId="4" borderId="3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vertical="center" wrapText="1"/>
    </xf>
    <xf numFmtId="0" fontId="0" fillId="5" borderId="3" xfId="0" applyFill="1" applyBorder="1"/>
    <xf numFmtId="3" fontId="7" fillId="4" borderId="7" xfId="0" applyNumberFormat="1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7" xfId="9" applyFont="1" applyFill="1" applyBorder="1" applyAlignment="1">
      <alignment vertical="center" wrapText="1"/>
    </xf>
    <xf numFmtId="43" fontId="7" fillId="4" borderId="7" xfId="1" applyFont="1" applyFill="1" applyBorder="1" applyAlignment="1">
      <alignment horizontal="right" vertical="center" wrapText="1"/>
    </xf>
    <xf numFmtId="1" fontId="7" fillId="4" borderId="7" xfId="9" applyNumberFormat="1" applyFont="1" applyFill="1" applyBorder="1" applyAlignment="1">
      <alignment horizontal="right" vertical="center" wrapText="1"/>
    </xf>
    <xf numFmtId="1" fontId="7" fillId="5" borderId="7" xfId="9" applyNumberFormat="1" applyFont="1" applyFill="1" applyBorder="1" applyAlignment="1">
      <alignment horizontal="left"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1" fontId="7" fillId="5" borderId="0" xfId="10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0" xfId="8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center" vertical="center" wrapText="1"/>
    </xf>
    <xf numFmtId="1" fontId="7" fillId="4" borderId="0" xfId="8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right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9" fillId="0" borderId="0" xfId="0" applyFont="1" applyBorder="1" applyAlignment="1"/>
    <xf numFmtId="0" fontId="8" fillId="5" borderId="7" xfId="0" applyFont="1" applyFill="1" applyBorder="1" applyAlignment="1">
      <alignment vertical="center" wrapText="1"/>
    </xf>
    <xf numFmtId="1" fontId="8" fillId="5" borderId="7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3" fontId="7" fillId="4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9" fillId="0" borderId="4" xfId="0" applyFont="1" applyBorder="1" applyAlignment="1"/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/>
    <xf numFmtId="0" fontId="1" fillId="0" borderId="0" xfId="0" applyFont="1" applyFill="1"/>
    <xf numFmtId="1" fontId="1" fillId="0" borderId="0" xfId="0" applyNumberFormat="1" applyFont="1" applyFill="1"/>
    <xf numFmtId="3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8" fillId="0" borderId="6" xfId="0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/>
    <xf numFmtId="0" fontId="8" fillId="0" borderId="7" xfId="0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/>
    <xf numFmtId="1" fontId="8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/>
    <xf numFmtId="0" fontId="7" fillId="0" borderId="0" xfId="4" applyFont="1" applyFill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righ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3" fontId="7" fillId="0" borderId="0" xfId="15" applyNumberFormat="1" applyFont="1" applyFill="1" applyBorder="1" applyAlignment="1">
      <alignment vertical="center" wrapText="1"/>
    </xf>
    <xf numFmtId="3" fontId="7" fillId="0" borderId="0" xfId="16" applyNumberFormat="1" applyFont="1" applyFill="1" applyBorder="1" applyAlignment="1">
      <alignment vertical="center" wrapText="1"/>
    </xf>
    <xf numFmtId="0" fontId="0" fillId="0" borderId="3" xfId="0" applyFill="1" applyBorder="1"/>
    <xf numFmtId="0" fontId="7" fillId="0" borderId="0" xfId="11" applyFont="1" applyFill="1" applyBorder="1" applyAlignment="1">
      <alignment horizontal="right" vertical="center" wrapText="1"/>
    </xf>
    <xf numFmtId="3" fontId="7" fillId="0" borderId="0" xfId="11" applyNumberFormat="1" applyFont="1" applyFill="1" applyBorder="1" applyAlignment="1">
      <alignment vertical="center" wrapText="1"/>
    </xf>
    <xf numFmtId="1" fontId="7" fillId="0" borderId="0" xfId="11" applyNumberFormat="1" applyFont="1" applyFill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vertical="center" wrapText="1"/>
    </xf>
    <xf numFmtId="1" fontId="7" fillId="0" borderId="0" xfId="2" applyNumberFormat="1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right" vertical="center" wrapText="1"/>
    </xf>
    <xf numFmtId="3" fontId="7" fillId="0" borderId="0" xfId="6" applyNumberFormat="1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0" fontId="7" fillId="0" borderId="4" xfId="6" applyFont="1" applyFill="1" applyBorder="1" applyAlignment="1">
      <alignment horizontal="right" vertical="center" wrapText="1"/>
    </xf>
    <xf numFmtId="3" fontId="7" fillId="0" borderId="4" xfId="7" applyNumberFormat="1" applyFont="1" applyFill="1" applyBorder="1" applyAlignment="1">
      <alignment vertical="center" wrapText="1"/>
    </xf>
    <xf numFmtId="3" fontId="7" fillId="0" borderId="4" xfId="8" applyNumberFormat="1" applyFont="1" applyFill="1" applyBorder="1" applyAlignment="1">
      <alignment vertical="center" wrapText="1"/>
    </xf>
    <xf numFmtId="3" fontId="7" fillId="0" borderId="4" xfId="6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/>
    <xf numFmtId="3" fontId="7" fillId="0" borderId="0" xfId="7" applyNumberFormat="1" applyFont="1" applyFill="1" applyBorder="1" applyAlignment="1">
      <alignment vertical="center" wrapText="1"/>
    </xf>
    <xf numFmtId="3" fontId="7" fillId="0" borderId="0" xfId="8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horizontal="left" vertical="center" wrapText="1"/>
    </xf>
    <xf numFmtId="3" fontId="7" fillId="0" borderId="7" xfId="7" applyNumberFormat="1" applyFont="1" applyFill="1" applyBorder="1" applyAlignment="1">
      <alignment vertical="center" wrapText="1"/>
    </xf>
    <xf numFmtId="1" fontId="7" fillId="0" borderId="0" xfId="7" applyNumberFormat="1" applyFont="1" applyFill="1" applyBorder="1" applyAlignment="1">
      <alignment horizontal="righ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3" fontId="7" fillId="0" borderId="3" xfId="0" applyNumberFormat="1" applyFont="1" applyFill="1" applyBorder="1"/>
    <xf numFmtId="0" fontId="7" fillId="0" borderId="7" xfId="5" applyFont="1" applyFill="1" applyBorder="1" applyAlignment="1">
      <alignment horizontal="right" vertical="center" wrapText="1"/>
    </xf>
    <xf numFmtId="0" fontId="7" fillId="0" borderId="7" xfId="5" applyFont="1" applyFill="1" applyBorder="1" applyAlignment="1">
      <alignment horizontal="left" vertical="center" wrapText="1"/>
    </xf>
    <xf numFmtId="3" fontId="8" fillId="0" borderId="0" xfId="7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3" fontId="8" fillId="0" borderId="7" xfId="7" applyNumberFormat="1" applyFont="1" applyFill="1" applyBorder="1" applyAlignment="1">
      <alignment vertical="center" wrapText="1"/>
    </xf>
    <xf numFmtId="3" fontId="8" fillId="0" borderId="7" xfId="5" applyNumberFormat="1" applyFont="1" applyFill="1" applyBorder="1" applyAlignment="1">
      <alignment vertical="center" wrapText="1"/>
    </xf>
    <xf numFmtId="3" fontId="8" fillId="0" borderId="7" xfId="7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3" fontId="7" fillId="0" borderId="0" xfId="7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horizontal="left" vertical="center" wrapText="1"/>
    </xf>
    <xf numFmtId="0" fontId="8" fillId="6" borderId="0" xfId="0" applyFont="1" applyFill="1"/>
    <xf numFmtId="0" fontId="8" fillId="5" borderId="0" xfId="0" applyFont="1" applyFill="1"/>
    <xf numFmtId="3" fontId="7" fillId="5" borderId="0" xfId="0" applyNumberFormat="1" applyFont="1" applyFill="1" applyBorder="1" applyAlignment="1">
      <alignment vertical="center" wrapText="1"/>
    </xf>
    <xf numFmtId="0" fontId="8" fillId="6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8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1" fontId="7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vertical="center" wrapText="1"/>
    </xf>
    <xf numFmtId="3" fontId="8" fillId="6" borderId="0" xfId="0" applyNumberFormat="1" applyFont="1" applyFill="1" applyBorder="1" applyAlignment="1"/>
    <xf numFmtId="1" fontId="8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1" fillId="5" borderId="0" xfId="0" applyFont="1" applyFill="1"/>
    <xf numFmtId="1" fontId="7" fillId="6" borderId="0" xfId="0" applyNumberFormat="1" applyFont="1" applyFill="1" applyBorder="1" applyAlignment="1">
      <alignment horizontal="right" vertical="center" wrapText="1"/>
    </xf>
    <xf numFmtId="3" fontId="7" fillId="6" borderId="0" xfId="11" applyNumberFormat="1" applyFont="1" applyFill="1" applyBorder="1" applyAlignment="1">
      <alignment vertical="center" wrapText="1"/>
    </xf>
    <xf numFmtId="0" fontId="7" fillId="6" borderId="0" xfId="2" applyFont="1" applyFill="1" applyBorder="1" applyAlignment="1">
      <alignment horizontal="right" vertical="center" wrapText="1"/>
    </xf>
    <xf numFmtId="3" fontId="7" fillId="6" borderId="0" xfId="2" applyNumberFormat="1" applyFont="1" applyFill="1" applyBorder="1" applyAlignment="1">
      <alignment vertical="center" wrapText="1"/>
    </xf>
    <xf numFmtId="0" fontId="7" fillId="6" borderId="0" xfId="2" applyFont="1" applyFill="1" applyBorder="1" applyAlignment="1">
      <alignment horizontal="left" vertical="center" wrapText="1"/>
    </xf>
    <xf numFmtId="1" fontId="7" fillId="6" borderId="0" xfId="2" applyNumberFormat="1" applyFont="1" applyFill="1" applyBorder="1" applyAlignment="1">
      <alignment horizontal="right" vertical="center" wrapText="1"/>
    </xf>
    <xf numFmtId="1" fontId="7" fillId="6" borderId="0" xfId="2" applyNumberFormat="1" applyFont="1" applyFill="1" applyBorder="1" applyAlignment="1">
      <alignment horizontal="left" vertical="center" wrapText="1"/>
    </xf>
    <xf numFmtId="1" fontId="7" fillId="5" borderId="0" xfId="2" applyNumberFormat="1" applyFont="1" applyFill="1" applyBorder="1" applyAlignment="1">
      <alignment horizontal="right" vertical="center" wrapText="1"/>
    </xf>
    <xf numFmtId="3" fontId="7" fillId="5" borderId="0" xfId="11" applyNumberFormat="1" applyFont="1" applyFill="1" applyBorder="1" applyAlignment="1">
      <alignment vertical="center" wrapText="1"/>
    </xf>
    <xf numFmtId="3" fontId="7" fillId="5" borderId="0" xfId="2" applyNumberFormat="1" applyFont="1" applyFill="1" applyBorder="1" applyAlignment="1">
      <alignment vertical="center" wrapText="1"/>
    </xf>
    <xf numFmtId="1" fontId="7" fillId="5" borderId="0" xfId="2" applyNumberFormat="1" applyFont="1" applyFill="1" applyBorder="1" applyAlignment="1">
      <alignment horizontal="left" vertical="center" wrapText="1"/>
    </xf>
    <xf numFmtId="0" fontId="7" fillId="6" borderId="0" xfId="6" applyFont="1" applyFill="1" applyBorder="1" applyAlignment="1">
      <alignment horizontal="right" vertical="center" wrapText="1"/>
    </xf>
    <xf numFmtId="3" fontId="7" fillId="6" borderId="0" xfId="6" applyNumberFormat="1" applyFont="1" applyFill="1" applyBorder="1" applyAlignment="1">
      <alignment vertical="center" wrapText="1"/>
    </xf>
    <xf numFmtId="0" fontId="7" fillId="6" borderId="0" xfId="6" applyFont="1" applyFill="1" applyBorder="1" applyAlignment="1">
      <alignment horizontal="left" vertical="center" wrapText="1"/>
    </xf>
    <xf numFmtId="1" fontId="7" fillId="6" borderId="0" xfId="6" applyNumberFormat="1" applyFont="1" applyFill="1" applyBorder="1" applyAlignment="1">
      <alignment horizontal="right" vertical="center" wrapText="1"/>
    </xf>
    <xf numFmtId="1" fontId="7" fillId="6" borderId="0" xfId="6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vertical="center" wrapText="1"/>
    </xf>
    <xf numFmtId="3" fontId="7" fillId="6" borderId="0" xfId="8" applyNumberFormat="1" applyFont="1" applyFill="1" applyBorder="1" applyAlignment="1">
      <alignment vertical="center" wrapText="1"/>
    </xf>
    <xf numFmtId="3" fontId="7" fillId="6" borderId="0" xfId="6" applyNumberFormat="1" applyFont="1" applyFill="1" applyBorder="1" applyAlignment="1">
      <alignment horizontal="left" vertical="center" wrapText="1"/>
    </xf>
    <xf numFmtId="3" fontId="9" fillId="6" borderId="0" xfId="6" applyNumberFormat="1" applyFont="1" applyFill="1" applyBorder="1" applyAlignment="1">
      <alignment horizontal="lef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0" fontId="7" fillId="6" borderId="0" xfId="7" applyFont="1" applyFill="1" applyBorder="1" applyAlignment="1">
      <alignment horizontal="right" vertical="center" wrapText="1"/>
    </xf>
    <xf numFmtId="0" fontId="0" fillId="0" borderId="7" xfId="0" applyBorder="1"/>
    <xf numFmtId="0" fontId="7" fillId="6" borderId="7" xfId="8" applyFont="1" applyFill="1" applyBorder="1" applyAlignment="1">
      <alignment vertical="center" wrapText="1"/>
    </xf>
    <xf numFmtId="0" fontId="7" fillId="7" borderId="7" xfId="8" applyFont="1" applyFill="1" applyBorder="1" applyAlignment="1">
      <alignment horizontal="center" vertical="center" wrapText="1"/>
    </xf>
    <xf numFmtId="0" fontId="7" fillId="7" borderId="7" xfId="8" applyFont="1" applyFill="1" applyBorder="1" applyAlignment="1">
      <alignment horizontal="left" vertical="center" wrapText="1"/>
    </xf>
    <xf numFmtId="3" fontId="8" fillId="6" borderId="0" xfId="7" applyNumberFormat="1" applyFont="1" applyFill="1" applyBorder="1" applyAlignment="1">
      <alignment vertical="center" wrapText="1"/>
    </xf>
    <xf numFmtId="3" fontId="8" fillId="6" borderId="0" xfId="8" applyNumberFormat="1" applyFont="1" applyFill="1" applyBorder="1" applyAlignment="1">
      <alignment vertical="center" wrapText="1"/>
    </xf>
    <xf numFmtId="3" fontId="8" fillId="6" borderId="0" xfId="7" applyNumberFormat="1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vertical="center" wrapText="1"/>
    </xf>
    <xf numFmtId="2" fontId="7" fillId="6" borderId="0" xfId="7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1" fontId="7" fillId="6" borderId="0" xfId="10" applyNumberFormat="1" applyFont="1" applyFill="1" applyBorder="1" applyAlignment="1">
      <alignment horizontal="right" vertical="center" wrapText="1"/>
    </xf>
    <xf numFmtId="3" fontId="7" fillId="6" borderId="0" xfId="10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right" vertical="center" wrapText="1"/>
    </xf>
    <xf numFmtId="3" fontId="7" fillId="6" borderId="0" xfId="9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horizontal="right" vertical="center" wrapText="1"/>
    </xf>
    <xf numFmtId="3" fontId="7" fillId="5" borderId="0" xfId="9" applyNumberFormat="1" applyFont="1" applyFill="1" applyBorder="1" applyAlignment="1">
      <alignment vertical="center" wrapText="1"/>
    </xf>
    <xf numFmtId="1" fontId="7" fillId="5" borderId="0" xfId="9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vertical="center" wrapText="1"/>
    </xf>
    <xf numFmtId="3" fontId="7" fillId="5" borderId="0" xfId="8" applyNumberFormat="1" applyFont="1" applyFill="1" applyBorder="1" applyAlignment="1">
      <alignment vertical="center" wrapText="1"/>
    </xf>
    <xf numFmtId="3" fontId="8" fillId="5" borderId="0" xfId="7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Alignment="1">
      <alignment horizontal="center"/>
    </xf>
    <xf numFmtId="3" fontId="7" fillId="0" borderId="0" xfId="0" applyNumberFormat="1" applyFont="1" applyFill="1" applyAlignment="1"/>
    <xf numFmtId="3" fontId="7" fillId="6" borderId="0" xfId="0" applyNumberFormat="1" applyFont="1" applyFill="1" applyAlignment="1"/>
    <xf numFmtId="1" fontId="7" fillId="5" borderId="0" xfId="0" applyNumberFormat="1" applyFont="1" applyFill="1" applyBorder="1" applyAlignment="1">
      <alignment horizontal="right" vertical="center" wrapText="1"/>
    </xf>
    <xf numFmtId="3" fontId="7" fillId="5" borderId="0" xfId="15" applyNumberFormat="1" applyFont="1" applyFill="1" applyBorder="1" applyAlignment="1">
      <alignment vertical="center" wrapText="1"/>
    </xf>
    <xf numFmtId="3" fontId="7" fillId="5" borderId="0" xfId="16" applyNumberFormat="1" applyFont="1" applyFill="1" applyBorder="1" applyAlignment="1">
      <alignment vertical="center" wrapText="1"/>
    </xf>
    <xf numFmtId="1" fontId="7" fillId="5" borderId="0" xfId="0" applyNumberFormat="1" applyFont="1" applyFill="1" applyBorder="1" applyAlignment="1">
      <alignment horizontal="left" vertical="center" wrapText="1"/>
    </xf>
    <xf numFmtId="11" fontId="7" fillId="4" borderId="0" xfId="2" applyNumberFormat="1" applyFont="1" applyFill="1" applyBorder="1" applyAlignment="1">
      <alignment horizontal="right" vertical="center" wrapText="1"/>
    </xf>
    <xf numFmtId="1" fontId="7" fillId="4" borderId="0" xfId="2" applyNumberFormat="1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right" vertical="center" wrapText="1"/>
    </xf>
    <xf numFmtId="1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0" fontId="7" fillId="5" borderId="0" xfId="7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/>
    </xf>
    <xf numFmtId="0" fontId="8" fillId="5" borderId="7" xfId="0" applyFont="1" applyFill="1" applyBorder="1" applyAlignment="1">
      <alignment horizontal="left" vertical="center" wrapText="1"/>
    </xf>
    <xf numFmtId="2" fontId="8" fillId="4" borderId="7" xfId="0" applyNumberFormat="1" applyFont="1" applyFill="1" applyBorder="1" applyAlignment="1">
      <alignment horizontal="left" vertical="center" wrapText="1"/>
    </xf>
    <xf numFmtId="3" fontId="8" fillId="4" borderId="7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/>
    </xf>
    <xf numFmtId="3" fontId="7" fillId="6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0" fontId="7" fillId="4" borderId="0" xfId="0" applyFont="1" applyFill="1" applyBorder="1" applyAlignment="1">
      <alignment wrapText="1"/>
    </xf>
    <xf numFmtId="0" fontId="7" fillId="6" borderId="0" xfId="0" applyFont="1" applyFill="1" applyBorder="1" applyAlignment="1" applyProtection="1">
      <alignment horizontal="right"/>
      <protection locked="0"/>
    </xf>
    <xf numFmtId="1" fontId="7" fillId="6" borderId="0" xfId="0" applyNumberFormat="1" applyFont="1" applyFill="1" applyAlignment="1">
      <alignment horizontal="center"/>
    </xf>
    <xf numFmtId="166" fontId="7" fillId="6" borderId="0" xfId="0" applyNumberFormat="1" applyFont="1" applyFill="1" applyBorder="1" applyAlignment="1"/>
    <xf numFmtId="166" fontId="7" fillId="0" borderId="0" xfId="0" applyNumberFormat="1" applyFont="1" applyFill="1" applyBorder="1" applyAlignment="1"/>
    <xf numFmtId="166" fontId="7" fillId="0" borderId="7" xfId="0" applyNumberFormat="1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7" fillId="6" borderId="0" xfId="7" applyNumberFormat="1" applyFont="1" applyFill="1" applyBorder="1" applyAlignment="1">
      <alignment horizontal="right" vertical="center"/>
    </xf>
    <xf numFmtId="3" fontId="7" fillId="6" borderId="0" xfId="7" applyNumberFormat="1" applyFont="1" applyFill="1" applyBorder="1" applyAlignment="1">
      <alignment vertical="center"/>
    </xf>
    <xf numFmtId="3" fontId="7" fillId="6" borderId="0" xfId="7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/>
    <xf numFmtId="3" fontId="7" fillId="6" borderId="0" xfId="8" applyNumberFormat="1" applyFont="1" applyFill="1" applyBorder="1" applyAlignment="1">
      <alignment vertical="center"/>
    </xf>
    <xf numFmtId="3" fontId="7" fillId="0" borderId="7" xfId="7" applyNumberFormat="1" applyFont="1" applyFill="1" applyBorder="1" applyAlignment="1">
      <alignment horizontal="right" vertical="center"/>
    </xf>
    <xf numFmtId="3" fontId="7" fillId="0" borderId="7" xfId="7" applyNumberFormat="1" applyFont="1" applyFill="1" applyBorder="1" applyAlignment="1">
      <alignment vertical="center"/>
    </xf>
    <xf numFmtId="0" fontId="7" fillId="0" borderId="7" xfId="5" applyFont="1" applyFill="1" applyBorder="1" applyAlignment="1">
      <alignment horizontal="left" vertical="center"/>
    </xf>
    <xf numFmtId="0" fontId="0" fillId="0" borderId="7" xfId="0" applyFill="1" applyBorder="1" applyAlignment="1"/>
    <xf numFmtId="1" fontId="7" fillId="4" borderId="7" xfId="0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/>
    </xf>
    <xf numFmtId="3" fontId="7" fillId="5" borderId="0" xfId="7" applyNumberFormat="1" applyFont="1" applyFill="1" applyBorder="1" applyAlignment="1">
      <alignment vertical="center"/>
    </xf>
    <xf numFmtId="3" fontId="7" fillId="5" borderId="0" xfId="7" applyNumberFormat="1" applyFont="1" applyFill="1" applyBorder="1" applyAlignment="1">
      <alignment horizontal="left" vertical="center"/>
    </xf>
    <xf numFmtId="3" fontId="7" fillId="5" borderId="0" xfId="8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2" borderId="0" xfId="0" applyNumberFormat="1" applyFont="1" applyFill="1"/>
    <xf numFmtId="3" fontId="7" fillId="6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7" fillId="8" borderId="0" xfId="0" applyFont="1" applyFill="1" applyBorder="1" applyAlignment="1">
      <alignment horizontal="right" vertical="center" wrapText="1"/>
    </xf>
    <xf numFmtId="3" fontId="7" fillId="8" borderId="0" xfId="0" applyNumberFormat="1" applyFont="1" applyFill="1" applyBorder="1" applyAlignment="1">
      <alignment horizontal="center" vertical="center" wrapText="1"/>
    </xf>
    <xf numFmtId="3" fontId="7" fillId="9" borderId="0" xfId="0" applyNumberFormat="1" applyFont="1" applyFill="1" applyBorder="1" applyAlignment="1">
      <alignment horizontal="center"/>
    </xf>
    <xf numFmtId="0" fontId="7" fillId="9" borderId="0" xfId="0" applyFont="1" applyFill="1" applyBorder="1" applyAlignment="1">
      <alignment horizontal="left" vertical="center" wrapText="1"/>
    </xf>
    <xf numFmtId="1" fontId="7" fillId="8" borderId="0" xfId="0" applyNumberFormat="1" applyFont="1" applyFill="1" applyBorder="1" applyAlignment="1">
      <alignment horizontal="right" vertical="center" wrapText="1"/>
    </xf>
    <xf numFmtId="1" fontId="7" fillId="8" borderId="0" xfId="0" applyNumberFormat="1" applyFont="1" applyFill="1" applyBorder="1" applyAlignment="1">
      <alignment horizontal="left" vertical="center" wrapText="1"/>
    </xf>
    <xf numFmtId="3" fontId="7" fillId="8" borderId="0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9" borderId="0" xfId="0" applyNumberFormat="1" applyFont="1" applyFill="1" applyBorder="1" applyAlignment="1">
      <alignment vertical="center" wrapText="1"/>
    </xf>
    <xf numFmtId="3" fontId="7" fillId="9" borderId="0" xfId="0" applyNumberFormat="1" applyFont="1" applyFill="1" applyBorder="1" applyAlignment="1"/>
    <xf numFmtId="3" fontId="7" fillId="5" borderId="0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left" vertical="center" wrapText="1"/>
    </xf>
    <xf numFmtId="1" fontId="7" fillId="5" borderId="0" xfId="4" applyNumberFormat="1" applyFont="1" applyFill="1" applyBorder="1" applyAlignment="1">
      <alignment horizontal="right" vertical="center" wrapText="1"/>
    </xf>
    <xf numFmtId="1" fontId="7" fillId="5" borderId="0" xfId="4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Alignment="1"/>
    <xf numFmtId="0" fontId="7" fillId="5" borderId="8" xfId="0" applyFont="1" applyFill="1" applyBorder="1" applyAlignment="1">
      <alignment horizontal="right" vertical="center" wrapText="1"/>
    </xf>
    <xf numFmtId="3" fontId="7" fillId="5" borderId="8" xfId="0" applyNumberFormat="1" applyFont="1" applyFill="1" applyBorder="1" applyAlignment="1">
      <alignment vertical="center" wrapText="1"/>
    </xf>
    <xf numFmtId="3" fontId="7" fillId="5" borderId="8" xfId="0" applyNumberFormat="1" applyFont="1" applyFill="1" applyBorder="1" applyAlignment="1">
      <alignment horizontal="left" vertical="center" wrapText="1"/>
    </xf>
    <xf numFmtId="3" fontId="7" fillId="5" borderId="8" xfId="0" applyNumberFormat="1" applyFont="1" applyFill="1" applyBorder="1" applyAlignment="1"/>
    <xf numFmtId="0" fontId="7" fillId="5" borderId="8" xfId="0" applyFont="1" applyFill="1" applyBorder="1" applyAlignment="1">
      <alignment horizontal="left" vertical="center" wrapText="1"/>
    </xf>
    <xf numFmtId="1" fontId="7" fillId="5" borderId="0" xfId="10" applyNumberFormat="1" applyFont="1" applyFill="1" applyBorder="1" applyAlignment="1">
      <alignment horizontal="right" vertical="center" wrapText="1"/>
    </xf>
    <xf numFmtId="3" fontId="7" fillId="5" borderId="0" xfId="10" applyNumberFormat="1" applyFont="1" applyFill="1" applyBorder="1" applyAlignment="1">
      <alignment vertical="center" wrapText="1"/>
    </xf>
    <xf numFmtId="1" fontId="7" fillId="5" borderId="0" xfId="10" applyNumberFormat="1" applyFont="1" applyFill="1" applyBorder="1" applyAlignment="1">
      <alignment horizontal="left" vertical="center" wrapText="1"/>
    </xf>
    <xf numFmtId="0" fontId="7" fillId="5" borderId="0" xfId="10" applyFont="1" applyFill="1" applyBorder="1" applyAlignment="1">
      <alignment horizontal="right" vertical="center" wrapText="1"/>
    </xf>
    <xf numFmtId="0" fontId="7" fillId="5" borderId="0" xfId="10" applyFont="1" applyFill="1" applyBorder="1" applyAlignment="1">
      <alignment horizontal="left" vertical="center" wrapText="1"/>
    </xf>
    <xf numFmtId="0" fontId="7" fillId="9" borderId="0" xfId="4" applyFont="1" applyFill="1" applyBorder="1" applyAlignment="1">
      <alignment horizontal="right" vertical="center" wrapText="1"/>
    </xf>
    <xf numFmtId="0" fontId="7" fillId="9" borderId="0" xfId="4" applyFont="1" applyFill="1" applyBorder="1" applyAlignment="1">
      <alignment horizontal="left" vertical="center" wrapText="1"/>
    </xf>
    <xf numFmtId="1" fontId="7" fillId="9" borderId="0" xfId="4" applyNumberFormat="1" applyFont="1" applyFill="1" applyBorder="1" applyAlignment="1">
      <alignment horizontal="right" vertical="center" wrapText="1"/>
    </xf>
    <xf numFmtId="1" fontId="7" fillId="9" borderId="0" xfId="4" applyNumberFormat="1" applyFont="1" applyFill="1" applyBorder="1" applyAlignment="1">
      <alignment horizontal="left" vertical="center" wrapText="1"/>
    </xf>
    <xf numFmtId="3" fontId="7" fillId="5" borderId="0" xfId="12" applyNumberFormat="1" applyFont="1" applyFill="1" applyBorder="1" applyAlignment="1">
      <alignment vertical="center" wrapText="1"/>
    </xf>
    <xf numFmtId="3" fontId="7" fillId="5" borderId="0" xfId="13" applyNumberFormat="1" applyFont="1" applyFill="1" applyBorder="1" applyAlignment="1">
      <alignment vertical="center" wrapText="1"/>
    </xf>
    <xf numFmtId="3" fontId="7" fillId="4" borderId="8" xfId="0" applyNumberFormat="1" applyFont="1" applyFill="1" applyBorder="1" applyAlignment="1">
      <alignment vertical="center" wrapText="1"/>
    </xf>
    <xf numFmtId="0" fontId="7" fillId="9" borderId="0" xfId="0" applyFont="1" applyFill="1" applyBorder="1" applyAlignment="1">
      <alignment horizontal="right" vertical="center" wrapText="1"/>
    </xf>
    <xf numFmtId="3" fontId="7" fillId="9" borderId="0" xfId="12" applyNumberFormat="1" applyFont="1" applyFill="1" applyBorder="1" applyAlignment="1">
      <alignment vertical="center" wrapText="1"/>
    </xf>
    <xf numFmtId="3" fontId="7" fillId="9" borderId="0" xfId="13" applyNumberFormat="1" applyFont="1" applyFill="1" applyBorder="1" applyAlignment="1">
      <alignment vertical="center" wrapText="1"/>
    </xf>
    <xf numFmtId="1" fontId="7" fillId="9" borderId="0" xfId="0" applyNumberFormat="1" applyFont="1" applyFill="1" applyBorder="1" applyAlignment="1">
      <alignment horizontal="right" vertical="center" wrapText="1"/>
    </xf>
    <xf numFmtId="3" fontId="7" fillId="9" borderId="0" xfId="15" applyNumberFormat="1" applyFont="1" applyFill="1" applyBorder="1" applyAlignment="1">
      <alignment vertical="center" wrapText="1"/>
    </xf>
    <xf numFmtId="3" fontId="7" fillId="9" borderId="0" xfId="16" applyNumberFormat="1" applyFont="1" applyFill="1" applyBorder="1" applyAlignment="1">
      <alignment vertical="center" wrapText="1"/>
    </xf>
    <xf numFmtId="1" fontId="7" fillId="9" borderId="0" xfId="0" applyNumberFormat="1" applyFont="1" applyFill="1" applyBorder="1" applyAlignment="1">
      <alignment horizontal="left" vertical="center" wrapText="1"/>
    </xf>
    <xf numFmtId="1" fontId="7" fillId="4" borderId="0" xfId="2" applyNumberFormat="1" applyFont="1" applyFill="1" applyBorder="1" applyAlignment="1">
      <alignment horizontal="left" vertical="center" wrapText="1"/>
    </xf>
    <xf numFmtId="0" fontId="7" fillId="9" borderId="0" xfId="11" applyFont="1" applyFill="1" applyBorder="1" applyAlignment="1">
      <alignment horizontal="right" vertical="center" wrapText="1"/>
    </xf>
    <xf numFmtId="3" fontId="7" fillId="9" borderId="0" xfId="11" applyNumberFormat="1" applyFont="1" applyFill="1" applyBorder="1" applyAlignment="1">
      <alignment vertical="center" wrapText="1"/>
    </xf>
    <xf numFmtId="1" fontId="7" fillId="9" borderId="0" xfId="11" applyNumberFormat="1" applyFont="1" applyFill="1" applyBorder="1" applyAlignment="1">
      <alignment horizontal="right" vertical="center" wrapText="1"/>
    </xf>
    <xf numFmtId="1" fontId="7" fillId="5" borderId="0" xfId="11" applyNumberFormat="1" applyFont="1" applyFill="1" applyBorder="1" applyAlignment="1">
      <alignment horizontal="right" vertical="center" wrapText="1"/>
    </xf>
    <xf numFmtId="0" fontId="7" fillId="7" borderId="1" xfId="4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5" borderId="0" xfId="9" applyFont="1" applyFill="1" applyBorder="1" applyAlignment="1">
      <alignment horizontal="right" vertical="center" wrapText="1"/>
    </xf>
    <xf numFmtId="0" fontId="7" fillId="5" borderId="0" xfId="9" applyFont="1" applyFill="1" applyBorder="1" applyAlignment="1">
      <alignment horizontal="left" vertical="center" wrapText="1"/>
    </xf>
    <xf numFmtId="0" fontId="7" fillId="9" borderId="0" xfId="6" applyFont="1" applyFill="1" applyBorder="1" applyAlignment="1">
      <alignment horizontal="right" vertical="center" wrapText="1"/>
    </xf>
    <xf numFmtId="3" fontId="7" fillId="9" borderId="0" xfId="6" applyNumberFormat="1" applyFont="1" applyFill="1" applyBorder="1" applyAlignment="1">
      <alignment vertical="center" wrapText="1"/>
    </xf>
    <xf numFmtId="3" fontId="7" fillId="9" borderId="0" xfId="6" applyNumberFormat="1" applyFont="1" applyFill="1" applyBorder="1" applyAlignment="1">
      <alignment horizontal="left" vertical="center" wrapText="1"/>
    </xf>
    <xf numFmtId="1" fontId="7" fillId="9" borderId="0" xfId="6" applyNumberFormat="1" applyFont="1" applyFill="1" applyBorder="1" applyAlignment="1">
      <alignment horizontal="right" vertical="center" wrapText="1"/>
    </xf>
    <xf numFmtId="1" fontId="7" fillId="9" borderId="0" xfId="7" applyNumberFormat="1" applyFont="1" applyFill="1" applyBorder="1" applyAlignment="1">
      <alignment horizontal="right" vertical="center" wrapText="1"/>
    </xf>
    <xf numFmtId="3" fontId="7" fillId="9" borderId="0" xfId="7" applyNumberFormat="1" applyFont="1" applyFill="1" applyBorder="1" applyAlignment="1">
      <alignment vertical="center" wrapText="1"/>
    </xf>
    <xf numFmtId="3" fontId="7" fillId="9" borderId="0" xfId="7" applyNumberFormat="1" applyFont="1" applyFill="1" applyBorder="1" applyAlignment="1">
      <alignment horizontal="left" vertical="center" wrapText="1"/>
    </xf>
    <xf numFmtId="1" fontId="7" fillId="9" borderId="3" xfId="7" applyNumberFormat="1" applyFont="1" applyFill="1" applyBorder="1" applyAlignment="1">
      <alignment horizontal="right" vertical="center" wrapText="1"/>
    </xf>
    <xf numFmtId="3" fontId="7" fillId="9" borderId="3" xfId="7" applyNumberFormat="1" applyFont="1" applyFill="1" applyBorder="1" applyAlignment="1">
      <alignment vertical="center" wrapText="1"/>
    </xf>
    <xf numFmtId="3" fontId="7" fillId="9" borderId="3" xfId="7" applyNumberFormat="1" applyFont="1" applyFill="1" applyBorder="1" applyAlignment="1">
      <alignment horizontal="left" vertical="center" wrapText="1"/>
    </xf>
    <xf numFmtId="3" fontId="7" fillId="6" borderId="0" xfId="8" applyNumberFormat="1" applyFont="1" applyFill="1" applyBorder="1" applyAlignment="1">
      <alignment horizontal="left" vertical="center" wrapText="1"/>
    </xf>
    <xf numFmtId="3" fontId="7" fillId="5" borderId="0" xfId="8" applyNumberFormat="1" applyFont="1" applyFill="1" applyBorder="1" applyAlignment="1">
      <alignment horizontal="left" vertical="center" wrapText="1"/>
    </xf>
    <xf numFmtId="3" fontId="7" fillId="9" borderId="0" xfId="8" applyNumberFormat="1" applyFont="1" applyFill="1" applyBorder="1" applyAlignment="1">
      <alignment horizontal="left" vertical="center" wrapText="1"/>
    </xf>
    <xf numFmtId="3" fontId="7" fillId="0" borderId="7" xfId="8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/>
    </xf>
    <xf numFmtId="0" fontId="7" fillId="9" borderId="1" xfId="0" applyFont="1" applyFill="1" applyBorder="1"/>
    <xf numFmtId="0" fontId="7" fillId="9" borderId="1" xfId="8" applyFont="1" applyFill="1" applyBorder="1" applyAlignment="1">
      <alignment horizontal="left" vertical="center" wrapText="1"/>
    </xf>
    <xf numFmtId="0" fontId="7" fillId="9" borderId="1" xfId="8" applyFont="1" applyFill="1" applyBorder="1" applyAlignment="1">
      <alignment vertical="center" wrapText="1"/>
    </xf>
    <xf numFmtId="1" fontId="7" fillId="8" borderId="1" xfId="7" applyNumberFormat="1" applyFont="1" applyFill="1" applyBorder="1" applyAlignment="1">
      <alignment vertical="center" wrapText="1"/>
    </xf>
    <xf numFmtId="0" fontId="7" fillId="0" borderId="3" xfId="7" applyFont="1" applyFill="1" applyBorder="1" applyAlignment="1">
      <alignment vertical="center" wrapText="1"/>
    </xf>
    <xf numFmtId="3" fontId="7" fillId="0" borderId="3" xfId="7" applyNumberFormat="1" applyFont="1" applyFill="1" applyBorder="1" applyAlignment="1">
      <alignment vertical="center" wrapText="1"/>
    </xf>
    <xf numFmtId="0" fontId="7" fillId="0" borderId="3" xfId="7" applyFont="1" applyFill="1" applyBorder="1" applyAlignment="1">
      <alignment horizontal="left" vertical="center" wrapText="1"/>
    </xf>
    <xf numFmtId="1" fontId="7" fillId="0" borderId="3" xfId="6" applyNumberFormat="1" applyFont="1" applyFill="1" applyBorder="1" applyAlignment="1">
      <alignment horizontal="right" vertical="center" wrapText="1"/>
    </xf>
    <xf numFmtId="3" fontId="7" fillId="0" borderId="3" xfId="8" applyNumberFormat="1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/>
    </xf>
    <xf numFmtId="0" fontId="8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left" vertical="center" wrapText="1"/>
    </xf>
    <xf numFmtId="3" fontId="8" fillId="5" borderId="0" xfId="0" applyNumberFormat="1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5" borderId="7" xfId="10" applyFont="1" applyFill="1" applyBorder="1" applyAlignment="1">
      <alignment vertical="center" wrapText="1"/>
    </xf>
    <xf numFmtId="0" fontId="7" fillId="5" borderId="7" xfId="10" applyFont="1" applyFill="1" applyBorder="1" applyAlignment="1">
      <alignment horizontal="right" vertical="center" wrapText="1"/>
    </xf>
    <xf numFmtId="1" fontId="7" fillId="5" borderId="7" xfId="10" applyNumberFormat="1" applyFont="1" applyFill="1" applyBorder="1" applyAlignment="1">
      <alignment horizontal="left" vertical="center" wrapText="1"/>
    </xf>
    <xf numFmtId="0" fontId="7" fillId="0" borderId="8" xfId="10" applyFont="1" applyFill="1" applyBorder="1" applyAlignment="1">
      <alignment vertical="center" wrapText="1"/>
    </xf>
    <xf numFmtId="3" fontId="7" fillId="0" borderId="8" xfId="10" applyNumberFormat="1" applyFont="1" applyFill="1" applyBorder="1" applyAlignment="1">
      <alignment vertical="center" wrapText="1"/>
    </xf>
    <xf numFmtId="3" fontId="7" fillId="0" borderId="8" xfId="0" applyNumberFormat="1" applyFont="1" applyFill="1" applyBorder="1" applyAlignment="1"/>
    <xf numFmtId="0" fontId="7" fillId="0" borderId="8" xfId="9" applyFont="1" applyFill="1" applyBorder="1" applyAlignment="1">
      <alignment vertical="center" wrapText="1"/>
    </xf>
    <xf numFmtId="3" fontId="7" fillId="0" borderId="8" xfId="9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7" xfId="4" applyFont="1" applyFill="1" applyBorder="1" applyAlignment="1">
      <alignment vertical="center" wrapText="1"/>
    </xf>
    <xf numFmtId="0" fontId="7" fillId="4" borderId="7" xfId="4" applyFont="1" applyFill="1" applyBorder="1" applyAlignment="1">
      <alignment horizontal="right" vertical="center" wrapText="1"/>
    </xf>
    <xf numFmtId="1" fontId="7" fillId="4" borderId="7" xfId="4" applyNumberFormat="1" applyFont="1" applyFill="1" applyBorder="1" applyAlignment="1">
      <alignment horizontal="right" vertical="center" wrapText="1"/>
    </xf>
    <xf numFmtId="1" fontId="7" fillId="3" borderId="7" xfId="4" applyNumberFormat="1" applyFont="1" applyFill="1" applyBorder="1" applyAlignment="1">
      <alignment horizontal="left" vertical="center" wrapText="1"/>
    </xf>
    <xf numFmtId="0" fontId="7" fillId="0" borderId="8" xfId="4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center"/>
    </xf>
    <xf numFmtId="3" fontId="7" fillId="0" borderId="8" xfId="4" applyNumberFormat="1" applyFont="1" applyFill="1" applyBorder="1" applyAlignment="1">
      <alignment horizontal="left" vertical="center" wrapText="1"/>
    </xf>
    <xf numFmtId="3" fontId="7" fillId="0" borderId="0" xfId="4" applyNumberFormat="1" applyFont="1" applyFill="1" applyBorder="1" applyAlignment="1">
      <alignment vertical="center" wrapText="1"/>
    </xf>
    <xf numFmtId="3" fontId="7" fillId="9" borderId="0" xfId="4" applyNumberFormat="1" applyFont="1" applyFill="1" applyBorder="1" applyAlignment="1">
      <alignment vertical="center" wrapText="1"/>
    </xf>
    <xf numFmtId="3" fontId="7" fillId="5" borderId="0" xfId="4" applyNumberFormat="1" applyFont="1" applyFill="1" applyBorder="1" applyAlignment="1">
      <alignment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1" fontId="7" fillId="5" borderId="7" xfId="0" applyNumberFormat="1" applyFont="1" applyFill="1" applyBorder="1" applyAlignment="1">
      <alignment horizontal="righ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1" fontId="7" fillId="0" borderId="8" xfId="11" applyNumberFormat="1" applyFont="1" applyFill="1" applyBorder="1" applyAlignment="1">
      <alignment horizontal="right" vertical="center" wrapText="1"/>
    </xf>
    <xf numFmtId="3" fontId="7" fillId="0" borderId="8" xfId="11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horizontal="right"/>
    </xf>
    <xf numFmtId="0" fontId="7" fillId="0" borderId="8" xfId="2" applyFont="1" applyFill="1" applyBorder="1" applyAlignment="1">
      <alignment vertical="center" wrapText="1"/>
    </xf>
    <xf numFmtId="3" fontId="7" fillId="0" borderId="8" xfId="2" applyNumberFormat="1" applyFont="1" applyFill="1" applyBorder="1" applyAlignment="1">
      <alignment vertical="center" wrapText="1"/>
    </xf>
    <xf numFmtId="0" fontId="7" fillId="0" borderId="8" xfId="2" applyFont="1" applyFill="1" applyBorder="1" applyAlignment="1">
      <alignment horizontal="left" vertical="center" wrapText="1"/>
    </xf>
    <xf numFmtId="1" fontId="7" fillId="4" borderId="8" xfId="6" applyNumberFormat="1" applyFont="1" applyFill="1" applyBorder="1" applyAlignment="1">
      <alignment horizontal="right" vertical="center" wrapText="1"/>
    </xf>
    <xf numFmtId="3" fontId="7" fillId="4" borderId="8" xfId="6" applyNumberFormat="1" applyFont="1" applyFill="1" applyBorder="1" applyAlignment="1">
      <alignment vertical="center" wrapText="1"/>
    </xf>
    <xf numFmtId="1" fontId="7" fillId="4" borderId="8" xfId="6" applyNumberFormat="1" applyFont="1" applyFill="1" applyBorder="1" applyAlignment="1">
      <alignment horizontal="left" vertical="center" wrapText="1"/>
    </xf>
    <xf numFmtId="1" fontId="7" fillId="0" borderId="8" xfId="6" applyNumberFormat="1" applyFont="1" applyFill="1" applyBorder="1" applyAlignment="1">
      <alignment horizontal="right" vertical="center" wrapText="1"/>
    </xf>
    <xf numFmtId="3" fontId="7" fillId="0" borderId="8" xfId="6" applyNumberFormat="1" applyFont="1" applyFill="1" applyBorder="1" applyAlignment="1">
      <alignment vertical="center" wrapText="1"/>
    </xf>
    <xf numFmtId="3" fontId="7" fillId="0" borderId="8" xfId="6" applyNumberFormat="1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right" vertical="center" wrapText="1"/>
    </xf>
    <xf numFmtId="0" fontId="0" fillId="0" borderId="0" xfId="0" applyNumberFormat="1" applyBorder="1"/>
    <xf numFmtId="0" fontId="7" fillId="0" borderId="8" xfId="5" applyFont="1" applyFill="1" applyBorder="1" applyAlignment="1">
      <alignment horizontal="right" vertical="center" wrapText="1"/>
    </xf>
    <xf numFmtId="3" fontId="7" fillId="0" borderId="8" xfId="7" applyNumberFormat="1" applyFont="1" applyFill="1" applyBorder="1" applyAlignment="1">
      <alignment vertical="center" wrapText="1"/>
    </xf>
    <xf numFmtId="0" fontId="7" fillId="0" borderId="8" xfId="5" applyFont="1" applyFill="1" applyBorder="1" applyAlignment="1">
      <alignment horizontal="left" vertical="center" wrapText="1"/>
    </xf>
    <xf numFmtId="3" fontId="7" fillId="0" borderId="8" xfId="5" applyNumberFormat="1" applyFont="1" applyFill="1" applyBorder="1" applyAlignment="1">
      <alignment vertical="center" wrapText="1"/>
    </xf>
    <xf numFmtId="3" fontId="7" fillId="4" borderId="8" xfId="7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3" fontId="7" fillId="4" borderId="8" xfId="7" applyNumberFormat="1" applyFont="1" applyFill="1" applyBorder="1" applyAlignment="1">
      <alignment horizontal="right" vertical="center" wrapText="1"/>
    </xf>
    <xf numFmtId="3" fontId="7" fillId="4" borderId="8" xfId="7" applyNumberFormat="1" applyFont="1" applyFill="1" applyBorder="1" applyAlignment="1">
      <alignment vertical="center" wrapText="1"/>
    </xf>
    <xf numFmtId="3" fontId="7" fillId="4" borderId="8" xfId="5" applyNumberFormat="1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4" borderId="0" xfId="4" applyFont="1" applyFill="1" applyBorder="1" applyAlignment="1">
      <alignment horizontal="center" vertical="center" wrapText="1"/>
    </xf>
    <xf numFmtId="1" fontId="7" fillId="4" borderId="7" xfId="4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 wrapText="1" readingOrder="1"/>
    </xf>
    <xf numFmtId="1" fontId="7" fillId="3" borderId="0" xfId="0" applyNumberFormat="1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readingOrder="1"/>
    </xf>
    <xf numFmtId="0" fontId="7" fillId="6" borderId="1" xfId="0" applyFont="1" applyFill="1" applyBorder="1" applyAlignment="1">
      <alignment horizontal="right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readingOrder="1"/>
    </xf>
    <xf numFmtId="0" fontId="7" fillId="2" borderId="0" xfId="0" applyFont="1" applyFill="1" applyBorder="1" applyAlignment="1">
      <alignment horizontal="right" vertical="center" wrapText="1" readingOrder="1"/>
    </xf>
    <xf numFmtId="0" fontId="7" fillId="2" borderId="0" xfId="0" applyFont="1" applyFill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vertical="center" wrapText="1" readingOrder="1"/>
    </xf>
    <xf numFmtId="3" fontId="7" fillId="0" borderId="0" xfId="0" applyNumberFormat="1" applyFont="1" applyFill="1" applyBorder="1" applyAlignment="1">
      <alignment horizontal="left" vertical="center" wrapText="1" readingOrder="1"/>
    </xf>
    <xf numFmtId="0" fontId="7" fillId="6" borderId="0" xfId="0" applyFont="1" applyFill="1" applyBorder="1" applyAlignment="1">
      <alignment horizontal="right" vertical="center" wrapText="1" readingOrder="1"/>
    </xf>
    <xf numFmtId="3" fontId="7" fillId="6" borderId="0" xfId="0" applyNumberFormat="1" applyFont="1" applyFill="1" applyBorder="1" applyAlignment="1">
      <alignment horizontal="left" vertical="center" wrapText="1" readingOrder="1"/>
    </xf>
    <xf numFmtId="3" fontId="7" fillId="6" borderId="0" xfId="0" applyNumberFormat="1" applyFont="1" applyFill="1" applyBorder="1" applyAlignment="1">
      <alignment horizontal="right" readingOrder="1"/>
    </xf>
    <xf numFmtId="0" fontId="8" fillId="0" borderId="2" xfId="0" applyFont="1" applyFill="1" applyBorder="1" applyAlignment="1">
      <alignment horizontal="right" vertical="center" wrapText="1" readingOrder="1"/>
    </xf>
    <xf numFmtId="3" fontId="8" fillId="0" borderId="2" xfId="0" applyNumberFormat="1" applyFont="1" applyFill="1" applyBorder="1" applyAlignment="1">
      <alignment horizontal="left" vertical="center" wrapText="1" readingOrder="1"/>
    </xf>
    <xf numFmtId="3" fontId="8" fillId="0" borderId="2" xfId="0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right"/>
    </xf>
    <xf numFmtId="0" fontId="7" fillId="0" borderId="1" xfId="2" applyFont="1" applyFill="1" applyBorder="1" applyAlignment="1">
      <alignment horizontal="right" vertical="center" wrapText="1"/>
    </xf>
    <xf numFmtId="3" fontId="7" fillId="0" borderId="1" xfId="11" applyNumberFormat="1" applyFont="1" applyFill="1" applyBorder="1" applyAlignment="1">
      <alignment vertical="center" wrapText="1"/>
    </xf>
    <xf numFmtId="3" fontId="7" fillId="0" borderId="1" xfId="2" applyNumberFormat="1" applyFont="1" applyFill="1" applyBorder="1" applyAlignment="1">
      <alignment vertical="center" wrapText="1"/>
    </xf>
    <xf numFmtId="1" fontId="7" fillId="0" borderId="1" xfId="2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right"/>
    </xf>
    <xf numFmtId="1" fontId="7" fillId="3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/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4" borderId="0" xfId="0" applyFont="1" applyFill="1" applyBorder="1" applyAlignment="1">
      <alignment horizontal="left" vertical="center" wrapText="1"/>
    </xf>
    <xf numFmtId="1" fontId="7" fillId="4" borderId="3" xfId="11" applyNumberFormat="1" applyFont="1" applyFill="1" applyBorder="1" applyAlignment="1">
      <alignment horizontal="right" vertical="center" wrapText="1"/>
    </xf>
    <xf numFmtId="11" fontId="7" fillId="4" borderId="3" xfId="2" applyNumberFormat="1" applyFont="1" applyFill="1" applyBorder="1" applyAlignment="1">
      <alignment horizontal="center" vertical="center" wrapText="1"/>
    </xf>
    <xf numFmtId="1" fontId="7" fillId="4" borderId="3" xfId="11" applyNumberFormat="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 wrapText="1"/>
    </xf>
    <xf numFmtId="1" fontId="7" fillId="3" borderId="3" xfId="6" applyNumberFormat="1" applyFont="1" applyFill="1" applyBorder="1" applyAlignment="1">
      <alignment horizontal="right" wrapText="1"/>
    </xf>
    <xf numFmtId="0" fontId="7" fillId="4" borderId="3" xfId="6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right" vertical="center" wrapText="1"/>
    </xf>
    <xf numFmtId="0" fontId="7" fillId="4" borderId="3" xfId="6" applyFont="1" applyFill="1" applyBorder="1" applyAlignment="1">
      <alignment vertical="center" wrapText="1"/>
    </xf>
    <xf numFmtId="0" fontId="7" fillId="3" borderId="3" xfId="3" applyFont="1" applyFill="1" applyBorder="1" applyAlignment="1">
      <alignment vertical="center" wrapText="1"/>
    </xf>
    <xf numFmtId="0" fontId="7" fillId="4" borderId="3" xfId="3" applyFont="1" applyFill="1" applyBorder="1" applyAlignment="1">
      <alignment horizontal="right" vertical="center" wrapText="1"/>
    </xf>
    <xf numFmtId="1" fontId="7" fillId="4" borderId="3" xfId="3" applyNumberFormat="1" applyFont="1" applyFill="1" applyBorder="1" applyAlignment="1">
      <alignment horizontal="right" vertical="center" wrapText="1"/>
    </xf>
    <xf numFmtId="0" fontId="7" fillId="4" borderId="3" xfId="3" applyFont="1" applyFill="1" applyBorder="1" applyAlignment="1">
      <alignment vertical="center" wrapText="1"/>
    </xf>
    <xf numFmtId="0" fontId="7" fillId="5" borderId="3" xfId="5" applyNumberFormat="1" applyFont="1" applyFill="1" applyBorder="1" applyAlignment="1">
      <alignment horizontal="right" vertical="center" wrapText="1"/>
    </xf>
    <xf numFmtId="0" fontId="7" fillId="4" borderId="3" xfId="5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3" fontId="7" fillId="6" borderId="0" xfId="15" applyNumberFormat="1" applyFont="1" applyFill="1" applyBorder="1" applyAlignment="1">
      <alignment vertical="center" wrapText="1"/>
    </xf>
    <xf numFmtId="3" fontId="7" fillId="6" borderId="0" xfId="16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7" borderId="7" xfId="8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/>
    </xf>
    <xf numFmtId="1" fontId="7" fillId="5" borderId="3" xfId="10" applyNumberFormat="1" applyFont="1" applyFill="1" applyBorder="1" applyAlignment="1">
      <alignment horizontal="left" vertical="center" wrapText="1"/>
    </xf>
    <xf numFmtId="0" fontId="7" fillId="0" borderId="3" xfId="10" applyFont="1" applyFill="1" applyBorder="1" applyAlignment="1">
      <alignment vertical="center" wrapText="1"/>
    </xf>
    <xf numFmtId="0" fontId="7" fillId="0" borderId="3" xfId="10" applyFont="1" applyFill="1" applyBorder="1" applyAlignment="1">
      <alignment horizontal="left" vertical="center" wrapText="1"/>
    </xf>
    <xf numFmtId="167" fontId="7" fillId="6" borderId="0" xfId="1" applyNumberFormat="1" applyFont="1" applyFill="1" applyBorder="1" applyAlignment="1">
      <alignment vertical="center" wrapText="1"/>
    </xf>
    <xf numFmtId="167" fontId="7" fillId="5" borderId="0" xfId="1" applyNumberFormat="1" applyFont="1" applyFill="1" applyBorder="1" applyAlignment="1">
      <alignment horizontal="left" vertical="center" wrapText="1"/>
    </xf>
    <xf numFmtId="167" fontId="7" fillId="6" borderId="0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7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readingOrder="1"/>
    </xf>
    <xf numFmtId="0" fontId="7" fillId="3" borderId="0" xfId="0" applyNumberFormat="1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right"/>
    </xf>
    <xf numFmtId="1" fontId="7" fillId="3" borderId="3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3" borderId="3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7" fillId="7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7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7" borderId="1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right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7" borderId="0" xfId="6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7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1" fontId="7" fillId="8" borderId="1" xfId="7" applyNumberFormat="1" applyFont="1" applyFill="1" applyBorder="1" applyAlignment="1">
      <alignment horizontal="right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7" borderId="0" xfId="5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0" fontId="7" fillId="7" borderId="1" xfId="5" applyFont="1" applyFill="1" applyBorder="1" applyAlignment="1">
      <alignment horizontal="center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0" fontId="7" fillId="7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/>
            </a:pPr>
            <a:r>
              <a:rPr lang="ar-IQ"/>
              <a:t> </a:t>
            </a:r>
          </a:p>
        </c:rich>
      </c:tx>
      <c:layout>
        <c:manualLayout>
          <c:xMode val="edge"/>
          <c:yMode val="edge"/>
          <c:x val="0.13295758366991692"/>
          <c:y val="1.7241379310344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75075169408465"/>
          <c:y val="0.23095777898452349"/>
          <c:w val="0.66732800239348322"/>
          <c:h val="0.6163177663136935"/>
        </c:manualLayout>
      </c:layout>
      <c:lineChart>
        <c:grouping val="standard"/>
        <c:varyColors val="0"/>
        <c:ser>
          <c:idx val="1"/>
          <c:order val="0"/>
          <c:tx>
            <c:strRef>
              <c:f>'الكلفه  للسنوات'!$D$36</c:f>
              <c:strCache>
                <c:ptCount val="1"/>
                <c:pt idx="0">
                  <c:v>الكلفة الكلية 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'الكلفه  للسنوات'!$D$37:$D$49</c:f>
              <c:numCache>
                <c:formatCode>General</c:formatCode>
                <c:ptCount val="13"/>
                <c:pt idx="0">
                  <c:v>544337</c:v>
                </c:pt>
                <c:pt idx="1">
                  <c:v>1392693</c:v>
                </c:pt>
                <c:pt idx="2">
                  <c:v>1968163</c:v>
                </c:pt>
                <c:pt idx="3">
                  <c:v>2150495</c:v>
                </c:pt>
                <c:pt idx="4">
                  <c:v>4421670</c:v>
                </c:pt>
                <c:pt idx="5">
                  <c:v>0</c:v>
                </c:pt>
                <c:pt idx="6">
                  <c:v>3320102</c:v>
                </c:pt>
                <c:pt idx="7">
                  <c:v>0</c:v>
                </c:pt>
                <c:pt idx="8">
                  <c:v>0</c:v>
                </c:pt>
                <c:pt idx="9">
                  <c:v>1479021</c:v>
                </c:pt>
                <c:pt idx="10">
                  <c:v>1398142</c:v>
                </c:pt>
                <c:pt idx="11">
                  <c:v>1138225</c:v>
                </c:pt>
                <c:pt idx="12">
                  <c:v>890422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'الكلفه  للسنوات'!$E$36</c:f>
              <c:strCache>
                <c:ptCount val="1"/>
                <c:pt idx="0">
                  <c:v>قيمة المواد الانشائية 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'الكلفه  للسنوات'!$E$37:$E$49</c:f>
              <c:numCache>
                <c:formatCode>General</c:formatCode>
                <c:ptCount val="13"/>
                <c:pt idx="0">
                  <c:v>422081</c:v>
                </c:pt>
                <c:pt idx="1">
                  <c:v>1059909</c:v>
                </c:pt>
                <c:pt idx="2">
                  <c:v>1486827</c:v>
                </c:pt>
                <c:pt idx="3">
                  <c:v>1583820</c:v>
                </c:pt>
                <c:pt idx="4">
                  <c:v>3622019</c:v>
                </c:pt>
                <c:pt idx="5">
                  <c:v>0</c:v>
                </c:pt>
                <c:pt idx="6">
                  <c:v>2873631</c:v>
                </c:pt>
                <c:pt idx="7">
                  <c:v>0</c:v>
                </c:pt>
                <c:pt idx="8">
                  <c:v>0</c:v>
                </c:pt>
                <c:pt idx="9">
                  <c:v>819485</c:v>
                </c:pt>
                <c:pt idx="10">
                  <c:v>901626</c:v>
                </c:pt>
                <c:pt idx="11">
                  <c:v>532029</c:v>
                </c:pt>
                <c:pt idx="12">
                  <c:v>345118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'الكلفه  للسنوات'!$F$36</c:f>
              <c:strCache>
                <c:ptCount val="1"/>
                <c:pt idx="0">
                  <c:v>الاجور المدفوعة</c:v>
                </c:pt>
              </c:strCache>
            </c:strRef>
          </c:tx>
          <c:marker>
            <c:symbol val="none"/>
          </c:marker>
          <c:cat>
            <c:numRef>
              <c:f>'الكلفه  للسنوات'!$C$37:$C$49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'الكلفه  للسنوات'!$F$37:$F$49</c:f>
              <c:numCache>
                <c:formatCode>General</c:formatCode>
                <c:ptCount val="13"/>
                <c:pt idx="0">
                  <c:v>132192</c:v>
                </c:pt>
                <c:pt idx="1">
                  <c:v>332783</c:v>
                </c:pt>
                <c:pt idx="2">
                  <c:v>481335</c:v>
                </c:pt>
                <c:pt idx="3">
                  <c:v>566675</c:v>
                </c:pt>
                <c:pt idx="4">
                  <c:v>661140</c:v>
                </c:pt>
                <c:pt idx="5">
                  <c:v>555092</c:v>
                </c:pt>
                <c:pt idx="6">
                  <c:v>446471</c:v>
                </c:pt>
                <c:pt idx="7">
                  <c:v>700793</c:v>
                </c:pt>
                <c:pt idx="8">
                  <c:v>659555</c:v>
                </c:pt>
                <c:pt idx="9">
                  <c:v>659555</c:v>
                </c:pt>
                <c:pt idx="10">
                  <c:v>496515</c:v>
                </c:pt>
                <c:pt idx="11">
                  <c:v>606196</c:v>
                </c:pt>
                <c:pt idx="12">
                  <c:v>545304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5024"/>
        <c:axId val="95886656"/>
      </c:lineChart>
      <c:dateAx>
        <c:axId val="96065024"/>
        <c:scaling>
          <c:orientation val="minMax"/>
        </c:scaling>
        <c:delete val="0"/>
        <c:axPos val="b"/>
        <c:numFmt formatCode="0;[Red]0" sourceLinked="0"/>
        <c:majorTickMark val="none"/>
        <c:minorTickMark val="none"/>
        <c:tickLblPos val="nextTo"/>
        <c:spPr>
          <a:noFill/>
          <a:effectLst>
            <a:glow>
              <a:schemeClr val="accent1">
                <a:alpha val="40000"/>
              </a:schemeClr>
            </a:glow>
          </a:effectLst>
        </c:spPr>
        <c:crossAx val="95886656"/>
        <c:crosses val="autoZero"/>
        <c:auto val="0"/>
        <c:lblOffset val="100"/>
        <c:baseTimeUnit val="days"/>
      </c:dateAx>
      <c:valAx>
        <c:axId val="95886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065024"/>
        <c:crosses val="autoZero"/>
        <c:crossBetween val="between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1.43" r="0.89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(2) 
المؤشرات الرئيسة لتقديرات ابنية القطاع الخاص حسب انواع البناء لسنة </a:t>
            </a:r>
            <a:r>
              <a:rPr lang="en-US" sz="1400" b="0"/>
              <a:t>2020</a:t>
            </a:r>
            <a:endParaRPr lang="ar-IQ" sz="1400" b="0"/>
          </a:p>
        </c:rich>
      </c:tx>
      <c:layout>
        <c:manualLayout>
          <c:xMode val="edge"/>
          <c:yMode val="edge"/>
          <c:x val="0.19330881037639824"/>
          <c:y val="2.84757118927973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62446588374405E-2"/>
          <c:y val="0.19821068662713456"/>
          <c:w val="0.90526899154670515"/>
          <c:h val="0.60655212079971488"/>
        </c:manualLayout>
      </c:layout>
      <c:bar3D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(مؤشرات!$B$9:$B$14,مؤشرات!$C$9:$C$14,مؤشرات!$F$9:$F$14)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6,069</c:v>
                </c:pt>
                <c:pt idx="7">
                  <c:v>5</c:v>
                </c:pt>
                <c:pt idx="8">
                  <c:v>126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1,890</c:v>
                </c:pt>
                <c:pt idx="13">
                  <c:v>1</c:v>
                </c:pt>
                <c:pt idx="14">
                  <c:v>8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</c:strCache>
            </c:strRef>
          </c:cat>
          <c:val>
            <c:numRef>
              <c:f>مؤشرات!$C$9:$C$14</c:f>
              <c:numCache>
                <c:formatCode>#,##0</c:formatCode>
                <c:ptCount val="6"/>
                <c:pt idx="0">
                  <c:v>6069</c:v>
                </c:pt>
                <c:pt idx="1">
                  <c:v>5</c:v>
                </c:pt>
                <c:pt idx="2">
                  <c:v>126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</c:dPt>
          <c:cat>
            <c:strRef>
              <c:f>(مؤشرات!$B$9:$B$14,مؤشرات!$C$9:$C$14,مؤشرات!$F$9:$F$14)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6,069</c:v>
                </c:pt>
                <c:pt idx="7">
                  <c:v>5</c:v>
                </c:pt>
                <c:pt idx="8">
                  <c:v>126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1,890</c:v>
                </c:pt>
                <c:pt idx="13">
                  <c:v>1</c:v>
                </c:pt>
                <c:pt idx="14">
                  <c:v>8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</c:strCache>
            </c:strRef>
          </c:cat>
          <c:val>
            <c:numRef>
              <c:f>مؤشرات!$F$9:$F$14</c:f>
              <c:numCache>
                <c:formatCode>#,##0</c:formatCode>
                <c:ptCount val="6"/>
                <c:pt idx="0">
                  <c:v>1890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97597440"/>
        <c:axId val="96102080"/>
        <c:axId val="0"/>
      </c:bar3DChart>
      <c:catAx>
        <c:axId val="9759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انواع البناء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138674645191537"/>
              <c:y val="0.79622873529697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0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02080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11537556099002982"/>
              <c:y val="0.1461075467418424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9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667735616210599"/>
          <c:y val="0.29053901005737115"/>
          <c:w val="6.5621535905516684E-2"/>
          <c:h val="0.100509011988758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&amp;C11</c:oddFooter>
    </c:headerFooter>
    <c:pageMargins b="1" l="0.75000000000001565" r="0.7500000000000156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b="1"/>
              <a:t>شكل رقم (3)
 معدل عدد العاملين في المحافظات لسنه </a:t>
            </a:r>
            <a:r>
              <a:rPr lang="en-US" b="1"/>
              <a:t>2020</a:t>
            </a:r>
            <a:endParaRPr lang="ar-IQ" b="1"/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844312143908834E-2"/>
          <c:y val="0.18256422766431302"/>
          <c:w val="0.86828410473081119"/>
          <c:h val="0.63264206432027348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العاملين!$A$8:$A$22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العاملين!$F$8:$F$22</c:f>
              <c:numCache>
                <c:formatCode>#,##0</c:formatCode>
                <c:ptCount val="15"/>
                <c:pt idx="0">
                  <c:v>39</c:v>
                </c:pt>
                <c:pt idx="1">
                  <c:v>149</c:v>
                </c:pt>
                <c:pt idx="2">
                  <c:v>219</c:v>
                </c:pt>
                <c:pt idx="3">
                  <c:v>77</c:v>
                </c:pt>
                <c:pt idx="4">
                  <c:v>1643</c:v>
                </c:pt>
                <c:pt idx="5">
                  <c:v>133</c:v>
                </c:pt>
                <c:pt idx="6">
                  <c:v>146</c:v>
                </c:pt>
                <c:pt idx="7">
                  <c:v>59</c:v>
                </c:pt>
                <c:pt idx="8">
                  <c:v>58</c:v>
                </c:pt>
                <c:pt idx="9">
                  <c:v>214</c:v>
                </c:pt>
                <c:pt idx="10">
                  <c:v>105</c:v>
                </c:pt>
                <c:pt idx="11">
                  <c:v>96</c:v>
                </c:pt>
                <c:pt idx="12">
                  <c:v>119</c:v>
                </c:pt>
                <c:pt idx="13">
                  <c:v>44</c:v>
                </c:pt>
                <c:pt idx="14">
                  <c:v>163</c:v>
                </c:pt>
              </c:numCache>
            </c:numRef>
          </c:val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العاملين!$D$8:$D$22</c:f>
              <c:numCache>
                <c:formatCode>#,##0</c:formatCode>
                <c:ptCount val="15"/>
                <c:pt idx="0">
                  <c:v>10</c:v>
                </c:pt>
                <c:pt idx="1">
                  <c:v>64</c:v>
                </c:pt>
                <c:pt idx="2">
                  <c:v>154</c:v>
                </c:pt>
                <c:pt idx="3">
                  <c:v>42</c:v>
                </c:pt>
                <c:pt idx="4">
                  <c:v>1271</c:v>
                </c:pt>
                <c:pt idx="5">
                  <c:v>77</c:v>
                </c:pt>
                <c:pt idx="6">
                  <c:v>39</c:v>
                </c:pt>
                <c:pt idx="7">
                  <c:v>25</c:v>
                </c:pt>
                <c:pt idx="8">
                  <c:v>56</c:v>
                </c:pt>
                <c:pt idx="9">
                  <c:v>91</c:v>
                </c:pt>
                <c:pt idx="10">
                  <c:v>47</c:v>
                </c:pt>
                <c:pt idx="11">
                  <c:v>35</c:v>
                </c:pt>
                <c:pt idx="12">
                  <c:v>19</c:v>
                </c:pt>
                <c:pt idx="13">
                  <c:v>4</c:v>
                </c:pt>
                <c:pt idx="14">
                  <c:v>31</c:v>
                </c:pt>
              </c:numCache>
            </c:numRef>
          </c:val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العاملين!$B$8:$B$22</c:f>
              <c:numCache>
                <c:formatCode>#,##0</c:formatCode>
                <c:ptCount val="15"/>
                <c:pt idx="0">
                  <c:v>243</c:v>
                </c:pt>
                <c:pt idx="1">
                  <c:v>1027</c:v>
                </c:pt>
                <c:pt idx="2">
                  <c:v>1672</c:v>
                </c:pt>
                <c:pt idx="3">
                  <c:v>512</c:v>
                </c:pt>
                <c:pt idx="4">
                  <c:v>11783</c:v>
                </c:pt>
                <c:pt idx="5">
                  <c:v>1145</c:v>
                </c:pt>
                <c:pt idx="6">
                  <c:v>1116</c:v>
                </c:pt>
                <c:pt idx="7">
                  <c:v>425</c:v>
                </c:pt>
                <c:pt idx="8">
                  <c:v>422</c:v>
                </c:pt>
                <c:pt idx="9">
                  <c:v>1626</c:v>
                </c:pt>
                <c:pt idx="10">
                  <c:v>847</c:v>
                </c:pt>
                <c:pt idx="11">
                  <c:v>827</c:v>
                </c:pt>
                <c:pt idx="12">
                  <c:v>857</c:v>
                </c:pt>
                <c:pt idx="13">
                  <c:v>307</c:v>
                </c:pt>
                <c:pt idx="14">
                  <c:v>1317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77664"/>
        <c:axId val="96104384"/>
        <c:axId val="99058944"/>
      </c:bar3DChart>
      <c:catAx>
        <c:axId val="993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0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1043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377664"/>
        <c:crosses val="autoZero"/>
        <c:crossBetween val="between"/>
      </c:valAx>
      <c:serAx>
        <c:axId val="9905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96104384"/>
        <c:crosses val="autoZero"/>
      </c:serAx>
    </c:plotArea>
    <c:legend>
      <c:legendPos val="r"/>
      <c:layout>
        <c:manualLayout>
          <c:xMode val="edge"/>
          <c:yMode val="edge"/>
          <c:x val="0.72136296414722545"/>
          <c:y val="0.35449725259162729"/>
          <c:w val="0.10740527152415853"/>
          <c:h val="0.111374632387818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&amp;C24</c:oddFooter>
    </c:headerFooter>
    <c:pageMargins b="0.98425196850393659" l="0.94488188976377963" r="0.70866141732283616" t="0.98425196850393659" header="0.51181102362204722" footer="0.51181102362204722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3238032231144"/>
          <c:y val="2.6819225721784783E-2"/>
          <c:w val="0.89187410707963566"/>
          <c:h val="0.840927809683402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طابوق!$C$4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txPr>
              <a:bodyPr rot="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طابوق!$J$9:$J$23</c:f>
              <c:numCache>
                <c:formatCode>_(* #,##0_);_(* \(#,##0\);_(* "-"??_);_(@_)</c:formatCode>
                <c:ptCount val="15"/>
                <c:pt idx="0">
                  <c:v>2020</c:v>
                </c:pt>
                <c:pt idx="1">
                  <c:v>8581</c:v>
                </c:pt>
                <c:pt idx="2">
                  <c:v>26255</c:v>
                </c:pt>
                <c:pt idx="3">
                  <c:v>9004</c:v>
                </c:pt>
                <c:pt idx="4">
                  <c:v>254457</c:v>
                </c:pt>
                <c:pt idx="5">
                  <c:v>33920</c:v>
                </c:pt>
                <c:pt idx="6">
                  <c:v>17442</c:v>
                </c:pt>
                <c:pt idx="7">
                  <c:v>14483</c:v>
                </c:pt>
                <c:pt idx="8">
                  <c:v>18144</c:v>
                </c:pt>
                <c:pt idx="9">
                  <c:v>28996</c:v>
                </c:pt>
                <c:pt idx="10">
                  <c:v>27645</c:v>
                </c:pt>
                <c:pt idx="11">
                  <c:v>15797</c:v>
                </c:pt>
                <c:pt idx="12">
                  <c:v>36472</c:v>
                </c:pt>
                <c:pt idx="13">
                  <c:v>7768</c:v>
                </c:pt>
                <c:pt idx="14">
                  <c:v>18506</c:v>
                </c:pt>
              </c:numCache>
            </c:numRef>
          </c:val>
        </c:ser>
        <c:ser>
          <c:idx val="0"/>
          <c:order val="1"/>
          <c:tx>
            <c:v>بلوك</c:v>
          </c:tx>
          <c:spPr>
            <a:solidFill>
              <a:srgbClr val="FF0000"/>
            </a:solidFill>
            <a:ln w="38100">
              <a:noFill/>
              <a:prstDash val="solid"/>
            </a:ln>
          </c:spPr>
          <c:invertIfNegative val="0"/>
          <c:dLbls>
            <c:txPr>
              <a:bodyPr rot="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1045</c:v>
                </c:pt>
                <c:pt idx="1">
                  <c:v>2955</c:v>
                </c:pt>
                <c:pt idx="2">
                  <c:v>2478</c:v>
                </c:pt>
                <c:pt idx="3">
                  <c:v>677</c:v>
                </c:pt>
                <c:pt idx="4">
                  <c:v>3618</c:v>
                </c:pt>
                <c:pt idx="5">
                  <c:v>2550</c:v>
                </c:pt>
                <c:pt idx="6">
                  <c:v>4287</c:v>
                </c:pt>
                <c:pt idx="7">
                  <c:v>356</c:v>
                </c:pt>
                <c:pt idx="8">
                  <c:v>1559</c:v>
                </c:pt>
                <c:pt idx="9">
                  <c:v>9159</c:v>
                </c:pt>
                <c:pt idx="10">
                  <c:v>229</c:v>
                </c:pt>
                <c:pt idx="11">
                  <c:v>824</c:v>
                </c:pt>
                <c:pt idx="12">
                  <c:v>4604</c:v>
                </c:pt>
                <c:pt idx="13">
                  <c:v>261</c:v>
                </c:pt>
                <c:pt idx="14">
                  <c:v>3743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9377152"/>
        <c:axId val="96106688"/>
      </c:barChart>
      <c:catAx>
        <c:axId val="993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106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106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9377152"/>
        <c:crosses val="autoZero"/>
        <c:crossBetween val="between"/>
      </c:valAx>
      <c:spPr>
        <a:solidFill>
          <a:schemeClr val="lt1"/>
        </a:solidFill>
        <a:ln w="25400" cap="flat" cmpd="sng" algn="ctr">
          <a:noFill/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85796802140287587"/>
          <c:y val="0.3103305906986345"/>
          <c:w val="0.10954155380021681"/>
          <c:h val="0.15933233064968003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cap="none" spc="0" baseline="0">
          <a:ln w="12700">
            <a:solidFill>
              <a:schemeClr val="tx2">
                <a:satMod val="155000"/>
              </a:schemeClr>
            </a:solidFill>
            <a:prstDash val="solid"/>
          </a:ln>
          <a:solidFill>
            <a:schemeClr val="bg2">
              <a:tint val="85000"/>
              <a:satMod val="155000"/>
            </a:schemeClr>
          </a:solidFill>
          <a:effectLst>
            <a:outerShdw blurRad="41275" dist="20320" dir="1800000" algn="tl" rotWithShape="0">
              <a:srgbClr val="000000">
                <a:alpha val="40000"/>
              </a:srgbClr>
            </a:outerShdw>
          </a:effectLst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&amp;C27</c:oddFooter>
    </c:headerFooter>
    <c:pageMargins b="1.45" l="1.17" r="1.1399999999999999" t="1.56" header="0.51181102362204722" footer="0.51181102362204722"/>
    <c:pageSetup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(5)
كمية المواد المستخدمة في البناء حسب المحافظات لسنة 2020 مادة ( الحجر والحصى  )</a:t>
            </a:r>
          </a:p>
        </c:rich>
      </c:tx>
      <c:layout>
        <c:manualLayout>
          <c:xMode val="edge"/>
          <c:yMode val="edge"/>
          <c:x val="0.2067576009620323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6871794878644673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حجر!$F$11:$F$15</c:f>
              <c:numCache>
                <c:formatCode>General</c:formatCode>
                <c:ptCount val="5"/>
                <c:pt idx="0">
                  <c:v>44371</c:v>
                </c:pt>
                <c:pt idx="1">
                  <c:v>68461</c:v>
                </c:pt>
                <c:pt idx="2">
                  <c:v>26131</c:v>
                </c:pt>
                <c:pt idx="3">
                  <c:v>111813</c:v>
                </c:pt>
                <c:pt idx="4">
                  <c:v>5678</c:v>
                </c:pt>
              </c:numCache>
            </c:numRef>
          </c:val>
        </c:ser>
        <c:ser>
          <c:idx val="1"/>
          <c:order val="1"/>
          <c:tx>
            <c:strRef>
              <c:f>حصى!$C$6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حصى!$F$11:$F$25</c:f>
              <c:numCache>
                <c:formatCode>#,##0</c:formatCode>
                <c:ptCount val="15"/>
                <c:pt idx="0">
                  <c:v>20983</c:v>
                </c:pt>
                <c:pt idx="1">
                  <c:v>35396</c:v>
                </c:pt>
                <c:pt idx="2">
                  <c:v>58798</c:v>
                </c:pt>
                <c:pt idx="3">
                  <c:v>23060</c:v>
                </c:pt>
                <c:pt idx="4">
                  <c:v>367584</c:v>
                </c:pt>
                <c:pt idx="5">
                  <c:v>46383</c:v>
                </c:pt>
                <c:pt idx="6">
                  <c:v>49910</c:v>
                </c:pt>
                <c:pt idx="7">
                  <c:v>20034</c:v>
                </c:pt>
                <c:pt idx="8">
                  <c:v>21482</c:v>
                </c:pt>
                <c:pt idx="9">
                  <c:v>75454</c:v>
                </c:pt>
                <c:pt idx="10">
                  <c:v>50385</c:v>
                </c:pt>
                <c:pt idx="11">
                  <c:v>30277</c:v>
                </c:pt>
                <c:pt idx="12">
                  <c:v>23831</c:v>
                </c:pt>
                <c:pt idx="13">
                  <c:v>5662</c:v>
                </c:pt>
                <c:pt idx="14">
                  <c:v>29411</c:v>
                </c:pt>
              </c:numCache>
            </c:numRef>
          </c:val>
        </c:ser>
        <c:ser>
          <c:idx val="2"/>
          <c:order val="2"/>
          <c:tx>
            <c:strRef>
              <c:f>رمل!$C$5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حصى!$A$11:$A$25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رمل!$F$10:$F$24</c:f>
              <c:numCache>
                <c:formatCode>#,##0</c:formatCode>
                <c:ptCount val="15"/>
                <c:pt idx="0">
                  <c:v>25</c:v>
                </c:pt>
                <c:pt idx="1">
                  <c:v>39</c:v>
                </c:pt>
                <c:pt idx="2">
                  <c:v>66</c:v>
                </c:pt>
                <c:pt idx="3">
                  <c:v>26</c:v>
                </c:pt>
                <c:pt idx="4">
                  <c:v>744</c:v>
                </c:pt>
                <c:pt idx="5">
                  <c:v>78</c:v>
                </c:pt>
                <c:pt idx="6">
                  <c:v>45</c:v>
                </c:pt>
                <c:pt idx="7">
                  <c:v>29</c:v>
                </c:pt>
                <c:pt idx="8">
                  <c:v>20</c:v>
                </c:pt>
                <c:pt idx="9">
                  <c:v>101</c:v>
                </c:pt>
                <c:pt idx="10">
                  <c:v>54</c:v>
                </c:pt>
                <c:pt idx="11">
                  <c:v>49</c:v>
                </c:pt>
                <c:pt idx="12">
                  <c:v>67</c:v>
                </c:pt>
                <c:pt idx="13">
                  <c:v>18</c:v>
                </c:pt>
                <c:pt idx="1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38624"/>
        <c:axId val="96107840"/>
      </c:barChart>
      <c:catAx>
        <c:axId val="997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3012443080357288"/>
              <c:y val="0.821338356801785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9610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107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9738624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86942176508383"/>
          <c:y val="0.4277389277389278"/>
          <c:w val="5.7097906252179524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0844" r="1.49" t="1" header="0.5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(6)
كمية المواد الانشائية المستخدمة حسب المحافظات لسنة 2020</a:t>
            </a:r>
            <a:r>
              <a:rPr lang="ar-IQ" sz="1400" b="0" baseline="0"/>
              <a:t> مادة (جص ، سمنت )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جص!$A$10:$A$24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جص!$F$10:$F$24</c:f>
              <c:numCache>
                <c:formatCode>#,##0</c:formatCode>
                <c:ptCount val="15"/>
                <c:pt idx="0">
                  <c:v>3828</c:v>
                </c:pt>
                <c:pt idx="1">
                  <c:v>19684</c:v>
                </c:pt>
                <c:pt idx="2">
                  <c:v>24267</c:v>
                </c:pt>
                <c:pt idx="3">
                  <c:v>6091</c:v>
                </c:pt>
                <c:pt idx="4">
                  <c:v>137457</c:v>
                </c:pt>
                <c:pt idx="5">
                  <c:v>7257</c:v>
                </c:pt>
                <c:pt idx="6">
                  <c:v>12331</c:v>
                </c:pt>
                <c:pt idx="7">
                  <c:v>3489</c:v>
                </c:pt>
                <c:pt idx="8">
                  <c:v>6064</c:v>
                </c:pt>
                <c:pt idx="9">
                  <c:v>13343</c:v>
                </c:pt>
                <c:pt idx="10">
                  <c:v>4719</c:v>
                </c:pt>
                <c:pt idx="11">
                  <c:v>5653</c:v>
                </c:pt>
                <c:pt idx="12">
                  <c:v>4321</c:v>
                </c:pt>
                <c:pt idx="13">
                  <c:v>2188</c:v>
                </c:pt>
                <c:pt idx="14">
                  <c:v>13214</c:v>
                </c:pt>
              </c:numCache>
            </c:numRef>
          </c:val>
        </c:ser>
        <c:ser>
          <c:idx val="1"/>
          <c:order val="1"/>
          <c:tx>
            <c:v>سمنت</c:v>
          </c:tx>
          <c:invertIfNegative val="0"/>
          <c:val>
            <c:numRef>
              <c:f>سمنت!$H$9:$H$23</c:f>
              <c:numCache>
                <c:formatCode>#,##0</c:formatCode>
                <c:ptCount val="15"/>
                <c:pt idx="0">
                  <c:v>8993</c:v>
                </c:pt>
                <c:pt idx="1">
                  <c:v>16387</c:v>
                </c:pt>
                <c:pt idx="2">
                  <c:v>25710</c:v>
                </c:pt>
                <c:pt idx="3">
                  <c:v>10165</c:v>
                </c:pt>
                <c:pt idx="4">
                  <c:v>179187</c:v>
                </c:pt>
                <c:pt idx="5">
                  <c:v>25545</c:v>
                </c:pt>
                <c:pt idx="6">
                  <c:v>25027</c:v>
                </c:pt>
                <c:pt idx="7">
                  <c:v>13671</c:v>
                </c:pt>
                <c:pt idx="8">
                  <c:v>8075</c:v>
                </c:pt>
                <c:pt idx="9">
                  <c:v>35633</c:v>
                </c:pt>
                <c:pt idx="10">
                  <c:v>26303</c:v>
                </c:pt>
                <c:pt idx="11">
                  <c:v>22947</c:v>
                </c:pt>
                <c:pt idx="12">
                  <c:v>21623</c:v>
                </c:pt>
                <c:pt idx="13">
                  <c:v>5053</c:v>
                </c:pt>
                <c:pt idx="14">
                  <c:v>23022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719744"/>
        <c:axId val="99960512"/>
        <c:axId val="0"/>
      </c:bar3DChart>
      <c:catAx>
        <c:axId val="9871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8336762456898166"/>
              <c:y val="0.783444226832052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9996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9605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3.1363032186072802E-2"/>
              <c:y val="0.1104918484174249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8719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0"/>
              <a:t>شكل رقم (7)
كمية المواد الانشائية المستخدمة في البناء حسب المحافظات لسنة  </a:t>
            </a:r>
            <a:r>
              <a:rPr lang="en-US" sz="1400" b="0"/>
              <a:t>2020</a:t>
            </a:r>
            <a:r>
              <a:rPr lang="ar-IQ" sz="1400" b="0"/>
              <a:t> مادة </a:t>
            </a:r>
            <a:r>
              <a:rPr lang="en-US" sz="1400" b="0"/>
              <a:t>)</a:t>
            </a:r>
            <a:r>
              <a:rPr lang="ar-IQ" sz="1400" b="0"/>
              <a:t>الكاشي</a:t>
            </a:r>
            <a:r>
              <a:rPr lang="en-US" sz="1400" b="0"/>
              <a:t>(</a:t>
            </a:r>
            <a:r>
              <a:rPr lang="ar-IQ" sz="1400" b="0"/>
              <a:t> 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82031328870029E-2"/>
          <c:y val="0.16639271400782144"/>
          <c:w val="0.9358476328573031"/>
          <c:h val="0.742013111227044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'كاشي 1'!$C$4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cat>
            <c:strRef>
              <c:f>'كاشي 1'!$A$9:$A$23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كاشي2!$G$9:$G$23</c:f>
              <c:numCache>
                <c:formatCode>#,##0</c:formatCode>
                <c:ptCount val="15"/>
                <c:pt idx="0">
                  <c:v>8143</c:v>
                </c:pt>
                <c:pt idx="1">
                  <c:v>11665</c:v>
                </c:pt>
                <c:pt idx="2">
                  <c:v>35155</c:v>
                </c:pt>
                <c:pt idx="3">
                  <c:v>10616</c:v>
                </c:pt>
                <c:pt idx="4">
                  <c:v>182110</c:v>
                </c:pt>
                <c:pt idx="5">
                  <c:v>25756</c:v>
                </c:pt>
                <c:pt idx="6">
                  <c:v>27160</c:v>
                </c:pt>
                <c:pt idx="7">
                  <c:v>11885</c:v>
                </c:pt>
                <c:pt idx="8">
                  <c:v>6719</c:v>
                </c:pt>
                <c:pt idx="9">
                  <c:v>82953</c:v>
                </c:pt>
                <c:pt idx="10">
                  <c:v>21066</c:v>
                </c:pt>
                <c:pt idx="11">
                  <c:v>16881</c:v>
                </c:pt>
                <c:pt idx="12">
                  <c:v>24067</c:v>
                </c:pt>
                <c:pt idx="13">
                  <c:v>4807</c:v>
                </c:pt>
                <c:pt idx="14">
                  <c:v>32976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317248"/>
        <c:axId val="99962240"/>
        <c:axId val="0"/>
      </c:bar3DChart>
      <c:catAx>
        <c:axId val="9931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9288538438279075"/>
              <c:y val="0.90501097994491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9996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622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9.175389704244967E-2"/>
              <c:y val="0.1251867399471830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931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2389995372755"/>
          <c:y val="0.14755315061734386"/>
          <c:w val="0.20476342261659591"/>
          <c:h val="7.4535667633225347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511175</xdr:colOff>
      <xdr:row>27</xdr:row>
      <xdr:rowOff>44450</xdr:rowOff>
    </xdr:from>
    <xdr:to>
      <xdr:col>6</xdr:col>
      <xdr:colOff>1292225</xdr:colOff>
      <xdr:row>54</xdr:row>
      <xdr:rowOff>88900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13</xdr:col>
      <xdr:colOff>533399</xdr:colOff>
      <xdr:row>38</xdr:row>
      <xdr:rowOff>85725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0.85233</cdr:x>
      <cdr:y>0.83836</cdr:y>
    </cdr:from>
    <cdr:to>
      <cdr:x>0.97668</cdr:x>
      <cdr:y>0.97845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67450" y="3705224"/>
          <a:ext cx="914400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</a:t>
          </a:r>
          <a:r>
            <a:rPr lang="ar-IQ" sz="1100" b="1"/>
            <a:t>لكلفة</a:t>
          </a:r>
          <a:r>
            <a:rPr lang="ar-IQ" sz="1100" b="1" baseline="0"/>
            <a:t> </a:t>
          </a:r>
          <a:endParaRPr lang="en-US" sz="1100" b="1"/>
        </a:p>
      </cdr:txBody>
    </cdr:sp>
  </cdr:relSizeAnchor>
  <cdr:relSizeAnchor xmlns:cdr="http://schemas.openxmlformats.org/drawingml/2006/chartDrawing">
    <cdr:from>
      <cdr:x>0.13472</cdr:x>
      <cdr:y>0.1444</cdr:y>
    </cdr:from>
    <cdr:to>
      <cdr:x>0.25907</cdr:x>
      <cdr:y>0.35129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0600" y="638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 b="1"/>
            <a:t>الكمية</a:t>
          </a:r>
          <a:r>
            <a:rPr lang="ar-IQ" sz="110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0.46885</cdr:x>
      <cdr:y>0.12365</cdr:y>
    </cdr:from>
    <cdr:to>
      <cdr:x>0.59434</cdr:x>
      <cdr:y>0.19051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16300" y="54610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0.17865</cdr:x>
      <cdr:y>0.04817</cdr:y>
    </cdr:from>
    <cdr:to>
      <cdr:x>0.9159</cdr:x>
      <cdr:y>0.19267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301751" y="212725"/>
          <a:ext cx="537210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1</a:t>
          </a:r>
          <a:r>
            <a:rPr lang="ar-IQ" sz="1400" b="1"/>
            <a:t>شكل</a:t>
          </a:r>
          <a:r>
            <a:rPr lang="ar-IQ" sz="1200" b="1" baseline="0"/>
            <a:t>  </a:t>
          </a:r>
          <a:endParaRPr lang="ar-IQ" sz="1200" b="1"/>
        </a:p>
        <a:p xmlns:a="http://schemas.openxmlformats.org/drawingml/2006/main">
          <a:r>
            <a:rPr lang="ar-IQ" sz="1400" b="0"/>
            <a:t>الكلفة</a:t>
          </a:r>
          <a:r>
            <a:rPr lang="ar-IQ" sz="1400" b="0" baseline="0"/>
            <a:t> الكلية وقيمة المواد الانشاية وأجور العاملين لابنية القطاع الخاص للسنوات 2008 -2020</a:t>
          </a:r>
          <a:endParaRPr lang="ar-IQ" sz="1400" b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85725</xdr:rowOff>
    </xdr:from>
    <xdr:to>
      <xdr:col>13</xdr:col>
      <xdr:colOff>504826</xdr:colOff>
      <xdr:row>38</xdr:row>
      <xdr:rowOff>104775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441325</xdr:colOff>
      <xdr:row>1</xdr:row>
      <xdr:rowOff>85725</xdr:rowOff>
    </xdr:from>
    <xdr:to>
      <xdr:col>13</xdr:col>
      <xdr:colOff>365125</xdr:colOff>
      <xdr:row>35</xdr:row>
      <xdr:rowOff>114300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0.9187</cdr:x>
      <cdr:y>0.74182</cdr:y>
    </cdr:from>
    <cdr:to>
      <cdr:x>0.98211</cdr:x>
      <cdr:y>0.78497</cdr:y>
    </cdr:to>
    <cdr:sp macro="" textlink="">
      <cdr:nvSpPr>
        <cdr:cNvPr id="2" name="TextBox 1"/>
        <cdr:cNvSpPr txBox="1"/>
      </cdr:nvSpPr>
      <cdr:spPr>
        <a:xfrm xmlns:a="http://schemas.openxmlformats.org/drawingml/2006/main" rot="10800000" flipV="1">
          <a:off x="7175499" y="4105275"/>
          <a:ext cx="495299" cy="238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المحافظات</a:t>
          </a:r>
        </a:p>
      </cdr:txBody>
    </cdr:sp>
  </cdr:relSizeAnchor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0.07519</cdr:x>
      <cdr:y>0.19277</cdr:y>
    </cdr:from>
    <cdr:to>
      <cdr:x>0.12559</cdr:x>
      <cdr:y>0.24441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725" y="1066799"/>
          <a:ext cx="397961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العدد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19050</xdr:rowOff>
    </xdr:from>
    <xdr:to>
      <xdr:col>13</xdr:col>
      <xdr:colOff>485774</xdr:colOff>
      <xdr:row>25</xdr:row>
      <xdr:rowOff>142875</xdr:rowOff>
    </xdr:to>
    <xdr:graphicFrame macro="">
      <xdr:nvGraphicFramePr>
        <xdr:cNvPr id="18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0.84945</cdr:x>
      <cdr:y>0.33073</cdr:y>
    </cdr:from>
    <cdr:to>
      <cdr:x>0.91298</cdr:x>
      <cdr:y>0.39063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57874" y="1209675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0.8674</cdr:x>
      <cdr:y>0.38542</cdr:y>
    </cdr:from>
    <cdr:to>
      <cdr:x>1</cdr:x>
      <cdr:y>0.63542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62674" y="1409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2</xdr:row>
      <xdr:rowOff>104774</xdr:rowOff>
    </xdr:from>
    <xdr:to>
      <xdr:col>15</xdr:col>
      <xdr:colOff>390525</xdr:colOff>
      <xdr:row>36</xdr:row>
      <xdr:rowOff>133349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114299</xdr:colOff>
      <xdr:row>34</xdr:row>
      <xdr:rowOff>123825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rightToLeft="1" topLeftCell="A22" zoomScaleNormal="100" zoomScaleSheetLayoutView="100" zoomScalePageLayoutView="60" workbookViewId="0">
      <selection activeCell="L4" sqref="L4"/>
    </sheetView>
  </sheetViews>
  <sheetFormatPr defaultRowHeight="12.75" x14ac:dyDescent="0.2"/>
  <cols>
    <col min="1" max="1" width="13" customWidth="1"/>
    <col min="2" max="2" width="14.7109375" customWidth="1"/>
    <col min="3" max="3" width="18.140625" customWidth="1"/>
    <col min="4" max="4" width="15.42578125" customWidth="1"/>
    <col min="5" max="5" width="18.5703125" customWidth="1"/>
    <col min="6" max="6" width="17.7109375" customWidth="1"/>
    <col min="7" max="7" width="23" customWidth="1"/>
    <col min="8" max="8" width="16" customWidth="1"/>
    <col min="9" max="9" width="9.7109375" customWidth="1"/>
    <col min="14" max="14" width="13.5703125" customWidth="1"/>
    <col min="15" max="15" width="13" customWidth="1"/>
    <col min="16" max="16" width="22.7109375" customWidth="1"/>
    <col min="17" max="17" width="20.7109375" customWidth="1"/>
  </cols>
  <sheetData>
    <row r="1" spans="1:19" ht="12.75" customHeight="1" x14ac:dyDescent="0.2">
      <c r="L1" s="289"/>
      <c r="M1" s="289"/>
      <c r="N1" s="289"/>
      <c r="O1" s="744"/>
      <c r="P1" s="744"/>
      <c r="Q1" s="289"/>
      <c r="R1" s="289"/>
      <c r="S1" s="289"/>
    </row>
    <row r="2" spans="1:19" ht="12.75" customHeight="1" x14ac:dyDescent="0.2">
      <c r="L2" s="289"/>
      <c r="M2" s="289"/>
      <c r="N2" s="289"/>
      <c r="O2" s="744"/>
      <c r="P2" s="744"/>
      <c r="Q2" s="744"/>
      <c r="R2" s="289"/>
      <c r="S2" s="289"/>
    </row>
    <row r="3" spans="1:19" ht="18.75" customHeight="1" x14ac:dyDescent="0.25">
      <c r="A3" s="898" t="s">
        <v>476</v>
      </c>
      <c r="B3" s="898"/>
      <c r="C3" s="898"/>
      <c r="D3" s="898"/>
      <c r="E3" s="898"/>
      <c r="F3" s="898"/>
      <c r="G3" s="898"/>
      <c r="L3" s="289"/>
      <c r="M3" s="289"/>
      <c r="N3" s="286"/>
      <c r="O3" s="399"/>
      <c r="P3" s="399"/>
      <c r="Q3" s="399"/>
      <c r="R3" s="289"/>
      <c r="S3" s="289"/>
    </row>
    <row r="4" spans="1:19" ht="15" x14ac:dyDescent="0.25">
      <c r="A4" s="899" t="s">
        <v>449</v>
      </c>
      <c r="B4" s="899"/>
      <c r="C4" s="899"/>
      <c r="D4" s="899"/>
      <c r="E4" s="899"/>
      <c r="F4" s="899"/>
      <c r="G4" s="899"/>
      <c r="L4" s="289"/>
      <c r="M4" s="289"/>
      <c r="N4" s="286"/>
      <c r="O4" s="399"/>
      <c r="P4" s="399"/>
      <c r="Q4" s="399"/>
      <c r="R4" s="289"/>
      <c r="S4" s="289"/>
    </row>
    <row r="5" spans="1:19" ht="15" x14ac:dyDescent="0.25">
      <c r="A5" s="22" t="s">
        <v>367</v>
      </c>
      <c r="B5" s="68"/>
      <c r="C5" s="68"/>
      <c r="D5" s="68"/>
      <c r="E5" s="68"/>
      <c r="F5" s="68"/>
      <c r="G5" s="154" t="s">
        <v>197</v>
      </c>
      <c r="L5" s="289"/>
      <c r="M5" s="289"/>
      <c r="N5" s="286"/>
      <c r="O5" s="399"/>
      <c r="P5" s="399"/>
      <c r="Q5" s="399"/>
      <c r="R5" s="289"/>
      <c r="S5" s="289"/>
    </row>
    <row r="6" spans="1:19" ht="15.75" customHeight="1" x14ac:dyDescent="0.25">
      <c r="A6" s="152"/>
      <c r="B6" s="900" t="s">
        <v>263</v>
      </c>
      <c r="C6" s="901" t="s">
        <v>471</v>
      </c>
      <c r="D6" s="901" t="s">
        <v>472</v>
      </c>
      <c r="E6" s="901" t="s">
        <v>381</v>
      </c>
      <c r="F6" s="900" t="s">
        <v>473</v>
      </c>
      <c r="G6" s="901" t="s">
        <v>474</v>
      </c>
      <c r="L6" s="289"/>
      <c r="M6" s="289"/>
      <c r="N6" s="286"/>
      <c r="O6" s="399"/>
      <c r="P6" s="399"/>
      <c r="Q6" s="399"/>
      <c r="R6" s="289"/>
      <c r="S6" s="289"/>
    </row>
    <row r="7" spans="1:19" ht="15" customHeight="1" x14ac:dyDescent="0.25">
      <c r="A7" s="171"/>
      <c r="B7" s="900"/>
      <c r="C7" s="901"/>
      <c r="D7" s="901"/>
      <c r="E7" s="901"/>
      <c r="F7" s="900"/>
      <c r="G7" s="901"/>
      <c r="L7" s="289"/>
      <c r="M7" s="289"/>
      <c r="N7" s="286"/>
      <c r="O7" s="399"/>
      <c r="P7" s="399"/>
      <c r="Q7" s="399"/>
      <c r="R7" s="289"/>
      <c r="S7" s="289"/>
    </row>
    <row r="8" spans="1:19" ht="47.25" customHeight="1" x14ac:dyDescent="0.25">
      <c r="A8" s="172" t="s">
        <v>475</v>
      </c>
      <c r="B8" s="10" t="s">
        <v>335</v>
      </c>
      <c r="C8" s="11" t="s">
        <v>304</v>
      </c>
      <c r="D8" s="11" t="s">
        <v>306</v>
      </c>
      <c r="E8" s="11" t="s">
        <v>303</v>
      </c>
      <c r="F8" s="11" t="s">
        <v>302</v>
      </c>
      <c r="G8" s="12" t="s">
        <v>305</v>
      </c>
      <c r="L8" s="289"/>
      <c r="M8" s="289"/>
      <c r="N8" s="286"/>
      <c r="O8" s="399"/>
      <c r="P8" s="399"/>
      <c r="Q8" s="399"/>
      <c r="R8" s="289"/>
      <c r="S8" s="289"/>
    </row>
    <row r="9" spans="1:19" ht="15" x14ac:dyDescent="0.2">
      <c r="A9" s="152" t="s">
        <v>329</v>
      </c>
      <c r="B9" s="222" t="s">
        <v>265</v>
      </c>
      <c r="C9" s="222" t="s">
        <v>265</v>
      </c>
      <c r="D9" s="222" t="s">
        <v>265</v>
      </c>
      <c r="E9" s="222" t="s">
        <v>127</v>
      </c>
      <c r="F9" s="222" t="s">
        <v>334</v>
      </c>
      <c r="G9" s="222" t="s">
        <v>196</v>
      </c>
      <c r="L9" s="289"/>
      <c r="M9" s="289"/>
      <c r="N9" s="287"/>
      <c r="O9" s="399"/>
      <c r="P9" s="399"/>
      <c r="Q9" s="399"/>
      <c r="R9" s="289"/>
      <c r="S9" s="289"/>
    </row>
    <row r="10" spans="1:19" ht="15" customHeight="1" x14ac:dyDescent="0.25">
      <c r="A10" s="286">
        <v>2008</v>
      </c>
      <c r="B10" s="399">
        <v>544337</v>
      </c>
      <c r="C10" s="399">
        <v>422081</v>
      </c>
      <c r="D10" s="399">
        <v>132192</v>
      </c>
      <c r="E10" s="399">
        <v>14285</v>
      </c>
      <c r="F10" s="399">
        <v>10789</v>
      </c>
      <c r="G10" s="399">
        <v>7</v>
      </c>
      <c r="H10" s="289"/>
      <c r="I10" s="289"/>
      <c r="J10" s="289"/>
      <c r="K10" s="289"/>
      <c r="L10" s="289"/>
      <c r="M10" s="289"/>
      <c r="N10" s="288"/>
      <c r="O10" s="401"/>
      <c r="P10" s="400"/>
      <c r="Q10" s="399"/>
      <c r="R10" s="289"/>
      <c r="S10" s="289"/>
    </row>
    <row r="11" spans="1:19" ht="15" customHeight="1" x14ac:dyDescent="0.25">
      <c r="A11" s="605">
        <v>2009</v>
      </c>
      <c r="B11" s="222">
        <v>1392693</v>
      </c>
      <c r="C11" s="222">
        <v>1059909</v>
      </c>
      <c r="D11" s="222">
        <v>332783</v>
      </c>
      <c r="E11" s="222">
        <v>38227</v>
      </c>
      <c r="F11" s="222">
        <v>12200</v>
      </c>
      <c r="G11" s="222">
        <v>19</v>
      </c>
      <c r="H11" s="289"/>
      <c r="I11" s="289"/>
      <c r="J11" s="289"/>
      <c r="K11" s="289"/>
      <c r="L11" s="289"/>
      <c r="M11" s="289"/>
      <c r="N11" s="288"/>
      <c r="O11" s="401"/>
      <c r="P11" s="400"/>
      <c r="Q11" s="399"/>
      <c r="R11" s="289"/>
      <c r="S11" s="289"/>
    </row>
    <row r="12" spans="1:19" ht="15" customHeight="1" x14ac:dyDescent="0.25">
      <c r="A12" s="286">
        <v>2010</v>
      </c>
      <c r="B12" s="399">
        <v>1968163</v>
      </c>
      <c r="C12" s="399">
        <v>1486827</v>
      </c>
      <c r="D12" s="399">
        <v>481335</v>
      </c>
      <c r="E12" s="399">
        <v>36346</v>
      </c>
      <c r="F12" s="399">
        <v>12789</v>
      </c>
      <c r="G12" s="399">
        <v>17</v>
      </c>
      <c r="H12" s="289"/>
      <c r="I12" s="289"/>
      <c r="J12" s="289"/>
      <c r="K12" s="289"/>
      <c r="L12" s="289"/>
      <c r="M12" s="289"/>
      <c r="N12" s="288"/>
      <c r="O12" s="401"/>
      <c r="P12" s="401"/>
      <c r="Q12" s="401"/>
      <c r="R12" s="289"/>
      <c r="S12" s="289"/>
    </row>
    <row r="13" spans="1:19" ht="15" customHeight="1" x14ac:dyDescent="0.25">
      <c r="A13" s="605">
        <v>2011</v>
      </c>
      <c r="B13" s="222">
        <v>2150495</v>
      </c>
      <c r="C13" s="222">
        <v>1583820</v>
      </c>
      <c r="D13" s="222">
        <v>566675</v>
      </c>
      <c r="E13" s="222">
        <v>48214</v>
      </c>
      <c r="F13" s="222">
        <v>14852</v>
      </c>
      <c r="G13" s="222">
        <v>10</v>
      </c>
      <c r="H13" s="289"/>
      <c r="I13" s="289"/>
      <c r="J13" s="289"/>
      <c r="K13" s="289"/>
      <c r="L13" s="289"/>
      <c r="M13" s="289"/>
      <c r="N13" s="288"/>
      <c r="O13" s="401"/>
      <c r="P13" s="401"/>
      <c r="Q13" s="401"/>
      <c r="R13" s="289"/>
      <c r="S13" s="289"/>
    </row>
    <row r="14" spans="1:19" ht="15" x14ac:dyDescent="0.25">
      <c r="A14" s="286">
        <v>2012</v>
      </c>
      <c r="B14" s="399">
        <v>4421670</v>
      </c>
      <c r="C14" s="399">
        <v>3622019</v>
      </c>
      <c r="D14" s="399">
        <v>661140</v>
      </c>
      <c r="E14" s="399">
        <v>66391</v>
      </c>
      <c r="F14" s="399">
        <v>21828</v>
      </c>
      <c r="G14" s="399">
        <v>11</v>
      </c>
      <c r="H14" s="289"/>
      <c r="I14" s="289"/>
      <c r="J14" s="289"/>
      <c r="K14" s="289"/>
      <c r="L14" s="289"/>
      <c r="M14" s="289"/>
      <c r="N14" s="288"/>
      <c r="O14" s="401"/>
      <c r="P14" s="401"/>
      <c r="Q14" s="401"/>
      <c r="R14" s="289"/>
      <c r="S14" s="289"/>
    </row>
    <row r="15" spans="1:19" ht="15" x14ac:dyDescent="0.25">
      <c r="A15" s="605">
        <v>2013</v>
      </c>
      <c r="B15" s="222" t="s">
        <v>332</v>
      </c>
      <c r="C15" s="222" t="s">
        <v>333</v>
      </c>
      <c r="D15" s="222">
        <v>555092</v>
      </c>
      <c r="E15" s="222">
        <v>61558</v>
      </c>
      <c r="F15" s="222">
        <v>15388</v>
      </c>
      <c r="G15" s="222">
        <v>13</v>
      </c>
      <c r="H15" s="289"/>
      <c r="I15" s="289"/>
      <c r="J15" s="289"/>
      <c r="K15" s="289"/>
      <c r="L15" s="289"/>
      <c r="M15" s="289"/>
      <c r="N15" s="288"/>
      <c r="O15" s="401"/>
      <c r="P15" s="401"/>
      <c r="Q15" s="401"/>
      <c r="R15" s="289"/>
      <c r="S15" s="289"/>
    </row>
    <row r="16" spans="1:19" s="6" customFormat="1" ht="15" x14ac:dyDescent="0.2">
      <c r="A16" s="287">
        <v>2014</v>
      </c>
      <c r="B16" s="399">
        <v>3320102</v>
      </c>
      <c r="C16" s="399">
        <v>2873631</v>
      </c>
      <c r="D16" s="399">
        <v>446471</v>
      </c>
      <c r="E16" s="399">
        <v>36291</v>
      </c>
      <c r="F16" s="399">
        <v>11580</v>
      </c>
      <c r="G16" s="399">
        <v>8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</row>
    <row r="17" spans="1:19" ht="15" x14ac:dyDescent="0.25">
      <c r="A17" s="8">
        <v>2015</v>
      </c>
      <c r="B17" s="577" t="s">
        <v>351</v>
      </c>
      <c r="C17" s="596" t="s">
        <v>353</v>
      </c>
      <c r="D17" s="222">
        <v>700793</v>
      </c>
      <c r="E17" s="222">
        <v>36655</v>
      </c>
      <c r="F17" s="222">
        <v>10886</v>
      </c>
      <c r="G17" s="222">
        <v>4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</row>
    <row r="18" spans="1:19" s="151" customFormat="1" ht="15" x14ac:dyDescent="0.25">
      <c r="A18" s="288">
        <v>2016</v>
      </c>
      <c r="B18" s="401" t="s">
        <v>352</v>
      </c>
      <c r="C18" s="400" t="s">
        <v>354</v>
      </c>
      <c r="D18" s="399">
        <v>659555</v>
      </c>
      <c r="E18" s="399">
        <v>37973</v>
      </c>
      <c r="F18" s="399">
        <v>9369</v>
      </c>
      <c r="G18" s="399">
        <v>11</v>
      </c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</row>
    <row r="19" spans="1:19" s="290" customFormat="1" ht="15" x14ac:dyDescent="0.25">
      <c r="A19" s="8">
        <v>2017</v>
      </c>
      <c r="B19" s="577">
        <v>1479021</v>
      </c>
      <c r="C19" s="577">
        <v>819485</v>
      </c>
      <c r="D19" s="577">
        <v>659555</v>
      </c>
      <c r="E19" s="577">
        <v>41885</v>
      </c>
      <c r="F19" s="577">
        <v>8836</v>
      </c>
      <c r="G19" s="606">
        <v>2</v>
      </c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</row>
    <row r="20" spans="1:19" ht="15" x14ac:dyDescent="0.25">
      <c r="A20" s="288">
        <v>2018</v>
      </c>
      <c r="B20" s="401">
        <v>1398142</v>
      </c>
      <c r="C20" s="401">
        <v>901626</v>
      </c>
      <c r="D20" s="401">
        <v>496515</v>
      </c>
      <c r="E20" s="401">
        <v>36379</v>
      </c>
      <c r="F20" s="401">
        <v>7324</v>
      </c>
      <c r="G20" s="400">
        <v>6</v>
      </c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</row>
    <row r="21" spans="1:19" ht="15" x14ac:dyDescent="0.25">
      <c r="A21" s="8">
        <v>2019</v>
      </c>
      <c r="B21" s="577">
        <v>1138225</v>
      </c>
      <c r="C21" s="577">
        <v>532029</v>
      </c>
      <c r="D21" s="577">
        <v>606196</v>
      </c>
      <c r="E21" s="577">
        <v>35966</v>
      </c>
      <c r="F21" s="577">
        <v>12038.66</v>
      </c>
      <c r="G21" s="606">
        <v>10.84</v>
      </c>
      <c r="L21" s="289"/>
      <c r="M21" s="289"/>
      <c r="N21" s="289"/>
      <c r="O21" s="289"/>
      <c r="P21" s="289"/>
      <c r="Q21" s="289"/>
      <c r="R21" s="289"/>
      <c r="S21" s="289"/>
    </row>
    <row r="22" spans="1:19" ht="15" x14ac:dyDescent="0.25">
      <c r="A22" s="288">
        <v>2020</v>
      </c>
      <c r="B22" s="729">
        <v>891868</v>
      </c>
      <c r="C22" s="729">
        <v>346563</v>
      </c>
      <c r="D22" s="729">
        <v>545304</v>
      </c>
      <c r="E22" s="729">
        <v>29355</v>
      </c>
      <c r="F22" s="729">
        <v>7959</v>
      </c>
      <c r="G22" s="722">
        <v>6</v>
      </c>
      <c r="L22" s="289"/>
      <c r="M22" s="289"/>
      <c r="N22" s="289"/>
      <c r="O22" s="289"/>
      <c r="P22" s="289"/>
      <c r="Q22" s="289"/>
      <c r="R22" s="289"/>
      <c r="S22" s="289"/>
    </row>
    <row r="23" spans="1:19" x14ac:dyDescent="0.2">
      <c r="C23" s="6"/>
      <c r="D23" s="6"/>
      <c r="E23" s="6"/>
      <c r="F23" s="6"/>
      <c r="G23" s="6"/>
    </row>
    <row r="24" spans="1:19" x14ac:dyDescent="0.2">
      <c r="B24" s="5"/>
      <c r="C24" s="5"/>
      <c r="D24" s="5"/>
      <c r="E24" s="5"/>
      <c r="F24" s="5"/>
      <c r="G24" s="5"/>
    </row>
    <row r="25" spans="1:19" x14ac:dyDescent="0.2">
      <c r="D25" s="5"/>
      <c r="E25" s="5" t="s">
        <v>398</v>
      </c>
    </row>
    <row r="30" spans="1:19" x14ac:dyDescent="0.2">
      <c r="L30" s="173"/>
    </row>
    <row r="36" spans="3:7" x14ac:dyDescent="0.2">
      <c r="C36" t="s">
        <v>383</v>
      </c>
      <c r="D36" t="s">
        <v>384</v>
      </c>
      <c r="E36" t="s">
        <v>385</v>
      </c>
      <c r="F36" t="s">
        <v>494</v>
      </c>
      <c r="G36" t="s">
        <v>386</v>
      </c>
    </row>
    <row r="37" spans="3:7" x14ac:dyDescent="0.2">
      <c r="C37">
        <v>2008</v>
      </c>
      <c r="D37" s="387">
        <v>544337</v>
      </c>
      <c r="E37" s="387">
        <v>422081</v>
      </c>
      <c r="F37">
        <v>132192</v>
      </c>
      <c r="G37">
        <v>14285</v>
      </c>
    </row>
    <row r="38" spans="3:7" x14ac:dyDescent="0.2">
      <c r="C38">
        <v>2009</v>
      </c>
      <c r="D38" s="387">
        <v>1392693</v>
      </c>
      <c r="E38" s="387">
        <v>1059909</v>
      </c>
      <c r="F38">
        <v>332783</v>
      </c>
      <c r="G38">
        <v>38227</v>
      </c>
    </row>
    <row r="39" spans="3:7" x14ac:dyDescent="0.2">
      <c r="C39">
        <v>2010</v>
      </c>
      <c r="D39" s="387">
        <v>1968163</v>
      </c>
      <c r="E39" s="387">
        <v>1486827</v>
      </c>
      <c r="F39">
        <v>481335</v>
      </c>
      <c r="G39">
        <v>36346</v>
      </c>
    </row>
    <row r="40" spans="3:7" x14ac:dyDescent="0.2">
      <c r="C40">
        <v>2011</v>
      </c>
      <c r="D40" s="387">
        <v>2150495</v>
      </c>
      <c r="E40" s="387">
        <v>1583820</v>
      </c>
      <c r="F40">
        <v>566675</v>
      </c>
      <c r="G40">
        <v>48214</v>
      </c>
    </row>
    <row r="41" spans="3:7" x14ac:dyDescent="0.2">
      <c r="C41">
        <v>2012</v>
      </c>
      <c r="D41" s="387">
        <v>4421670</v>
      </c>
      <c r="E41" s="387">
        <v>3622019</v>
      </c>
      <c r="F41">
        <v>661140</v>
      </c>
      <c r="G41">
        <v>66391</v>
      </c>
    </row>
    <row r="42" spans="3:7" x14ac:dyDescent="0.2">
      <c r="C42">
        <v>2013</v>
      </c>
      <c r="D42" s="387" t="s">
        <v>332</v>
      </c>
      <c r="E42" s="387" t="s">
        <v>333</v>
      </c>
      <c r="F42">
        <v>555092</v>
      </c>
      <c r="G42">
        <v>61558</v>
      </c>
    </row>
    <row r="43" spans="3:7" x14ac:dyDescent="0.2">
      <c r="C43">
        <v>2014</v>
      </c>
      <c r="D43" s="387">
        <v>3320102</v>
      </c>
      <c r="E43" s="387">
        <v>2873631</v>
      </c>
      <c r="F43">
        <v>446471</v>
      </c>
      <c r="G43">
        <v>36291</v>
      </c>
    </row>
    <row r="44" spans="3:7" x14ac:dyDescent="0.2">
      <c r="C44">
        <v>2015</v>
      </c>
      <c r="D44" s="387" t="s">
        <v>351</v>
      </c>
      <c r="E44" s="387" t="s">
        <v>353</v>
      </c>
      <c r="F44">
        <v>700793</v>
      </c>
      <c r="G44">
        <v>36655</v>
      </c>
    </row>
    <row r="45" spans="3:7" x14ac:dyDescent="0.2">
      <c r="C45">
        <v>2016</v>
      </c>
      <c r="D45" s="387" t="s">
        <v>352</v>
      </c>
      <c r="E45" s="387" t="s">
        <v>354</v>
      </c>
      <c r="F45">
        <v>659555</v>
      </c>
      <c r="G45">
        <v>37973</v>
      </c>
    </row>
    <row r="46" spans="3:7" x14ac:dyDescent="0.2">
      <c r="C46">
        <v>2017</v>
      </c>
      <c r="D46" s="387">
        <v>1479021</v>
      </c>
      <c r="E46" s="387">
        <v>819485</v>
      </c>
      <c r="F46">
        <v>659555</v>
      </c>
      <c r="G46">
        <v>41885</v>
      </c>
    </row>
    <row r="47" spans="3:7" x14ac:dyDescent="0.2">
      <c r="C47">
        <v>2018</v>
      </c>
      <c r="D47" s="387">
        <v>1398142</v>
      </c>
      <c r="E47" s="387">
        <v>901626</v>
      </c>
      <c r="F47">
        <v>496515</v>
      </c>
      <c r="G47">
        <v>36379</v>
      </c>
    </row>
    <row r="48" spans="3:7" x14ac:dyDescent="0.2">
      <c r="C48">
        <v>2019</v>
      </c>
      <c r="D48">
        <v>1138225</v>
      </c>
      <c r="E48">
        <v>532029</v>
      </c>
      <c r="F48">
        <v>606196</v>
      </c>
      <c r="G48">
        <v>35966</v>
      </c>
    </row>
    <row r="49" spans="3:6" x14ac:dyDescent="0.2">
      <c r="C49">
        <v>2020</v>
      </c>
      <c r="D49" s="387">
        <v>890422</v>
      </c>
      <c r="E49" s="387">
        <v>345118</v>
      </c>
      <c r="F49">
        <v>545304</v>
      </c>
    </row>
    <row r="58" spans="3:6" s="897" customFormat="1" x14ac:dyDescent="0.2"/>
  </sheetData>
  <mergeCells count="9">
    <mergeCell ref="A58:XFD58"/>
    <mergeCell ref="A3:G3"/>
    <mergeCell ref="A4:G4"/>
    <mergeCell ref="B6:B7"/>
    <mergeCell ref="C6:C7"/>
    <mergeCell ref="D6:D7"/>
    <mergeCell ref="E6:E7"/>
    <mergeCell ref="F6:F7"/>
    <mergeCell ref="G6:G7"/>
  </mergeCells>
  <phoneticPr fontId="3" type="noConversion"/>
  <printOptions horizontalCentered="1" verticalCentered="1"/>
  <pageMargins left="1.01" right="1.29" top="1.36" bottom="1.81" header="0.2" footer="0.78"/>
  <pageSetup paperSize="9" scale="95" orientation="landscape" r:id="rId1"/>
  <headerFooter alignWithMargins="0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rightToLeft="1" workbookViewId="0">
      <selection activeCell="A6" sqref="A6:B6"/>
    </sheetView>
  </sheetViews>
  <sheetFormatPr defaultRowHeight="12.75" x14ac:dyDescent="0.2"/>
  <cols>
    <col min="1" max="1" width="14.42578125" customWidth="1"/>
    <col min="2" max="2" width="18" customWidth="1"/>
    <col min="3" max="3" width="15.85546875" customWidth="1"/>
    <col min="4" max="4" width="16.7109375" customWidth="1"/>
    <col min="5" max="5" width="13.5703125" customWidth="1"/>
    <col min="6" max="6" width="16.5703125" customWidth="1"/>
  </cols>
  <sheetData>
    <row r="2" spans="1:6" ht="15" x14ac:dyDescent="0.2">
      <c r="A2" s="927" t="s">
        <v>411</v>
      </c>
      <c r="B2" s="927"/>
      <c r="C2" s="927"/>
      <c r="D2" s="927"/>
      <c r="E2" s="927"/>
      <c r="F2" s="927"/>
    </row>
    <row r="3" spans="1:6" x14ac:dyDescent="0.2">
      <c r="A3" s="928" t="s">
        <v>412</v>
      </c>
      <c r="B3" s="928"/>
      <c r="C3" s="928"/>
      <c r="D3" s="928"/>
      <c r="E3" s="928"/>
      <c r="F3" s="928"/>
    </row>
    <row r="4" spans="1:6" x14ac:dyDescent="0.2">
      <c r="A4" s="928"/>
      <c r="B4" s="928"/>
      <c r="C4" s="928"/>
      <c r="D4" s="928"/>
      <c r="E4" s="928"/>
      <c r="F4" s="928"/>
    </row>
    <row r="5" spans="1:6" ht="15" x14ac:dyDescent="0.25">
      <c r="A5" s="809"/>
      <c r="B5" s="809"/>
      <c r="C5" s="810"/>
      <c r="D5" s="809"/>
      <c r="E5" s="929" t="s">
        <v>202</v>
      </c>
      <c r="F5" s="929"/>
    </row>
    <row r="6" spans="1:6" ht="15.75" thickBot="1" x14ac:dyDescent="0.25">
      <c r="A6" s="930" t="s">
        <v>500</v>
      </c>
      <c r="B6" s="930"/>
      <c r="C6" s="811"/>
      <c r="D6" s="931" t="s">
        <v>366</v>
      </c>
      <c r="E6" s="931"/>
      <c r="F6" s="811" t="s">
        <v>374</v>
      </c>
    </row>
    <row r="7" spans="1:6" ht="15" x14ac:dyDescent="0.25">
      <c r="A7" s="812"/>
      <c r="B7" s="813" t="s">
        <v>114</v>
      </c>
      <c r="C7" s="814" t="s">
        <v>358</v>
      </c>
      <c r="D7" s="813" t="s">
        <v>78</v>
      </c>
      <c r="E7" s="813" t="s">
        <v>125</v>
      </c>
      <c r="F7" s="812"/>
    </row>
    <row r="8" spans="1:6" ht="15" x14ac:dyDescent="0.25">
      <c r="A8" s="815"/>
      <c r="B8" s="816" t="s">
        <v>287</v>
      </c>
      <c r="C8" s="817"/>
      <c r="D8" s="816" t="s">
        <v>138</v>
      </c>
      <c r="E8" s="816" t="s">
        <v>135</v>
      </c>
      <c r="F8" s="815"/>
    </row>
    <row r="9" spans="1:6" ht="15.75" thickBot="1" x14ac:dyDescent="0.25">
      <c r="A9" s="818" t="s">
        <v>54</v>
      </c>
      <c r="B9" s="818" t="s">
        <v>129</v>
      </c>
      <c r="C9" s="819"/>
      <c r="D9" s="818" t="s">
        <v>128</v>
      </c>
      <c r="E9" s="818"/>
      <c r="F9" s="819" t="s">
        <v>26</v>
      </c>
    </row>
    <row r="10" spans="1:6" s="289" customFormat="1" ht="15.75" thickTop="1" x14ac:dyDescent="0.2">
      <c r="A10" s="820" t="s">
        <v>6</v>
      </c>
      <c r="B10" s="821">
        <v>1</v>
      </c>
      <c r="C10" s="821">
        <v>0</v>
      </c>
      <c r="D10" s="821">
        <v>548</v>
      </c>
      <c r="E10" s="822">
        <v>109504</v>
      </c>
      <c r="F10" s="823" t="s">
        <v>24</v>
      </c>
    </row>
    <row r="11" spans="1:6" s="289" customFormat="1" ht="15" x14ac:dyDescent="0.25">
      <c r="A11" s="824" t="s">
        <v>10</v>
      </c>
      <c r="B11" s="825">
        <v>0</v>
      </c>
      <c r="C11" s="825">
        <v>1</v>
      </c>
      <c r="D11" s="825">
        <v>56</v>
      </c>
      <c r="E11" s="826">
        <v>14000</v>
      </c>
      <c r="F11" s="9" t="s">
        <v>20</v>
      </c>
    </row>
    <row r="12" spans="1:6" s="289" customFormat="1" ht="16.5" thickBot="1" x14ac:dyDescent="0.25">
      <c r="A12" s="827" t="s">
        <v>0</v>
      </c>
      <c r="B12" s="828">
        <f>SUM(B10:B11)</f>
        <v>1</v>
      </c>
      <c r="C12" s="828">
        <f>SUM(C10:C11)</f>
        <v>1</v>
      </c>
      <c r="D12" s="829">
        <f>SUM(D10:D11)</f>
        <v>604</v>
      </c>
      <c r="E12" s="829">
        <f>SUM(E10:E11)</f>
        <v>123504</v>
      </c>
      <c r="F12" s="830" t="s">
        <v>1</v>
      </c>
    </row>
    <row r="13" spans="1:6" ht="13.5" thickTop="1" x14ac:dyDescent="0.2">
      <c r="A13" s="13" t="s">
        <v>453</v>
      </c>
      <c r="B13" s="13"/>
      <c r="C13" s="13"/>
      <c r="D13" s="13"/>
      <c r="E13" s="173"/>
    </row>
  </sheetData>
  <mergeCells count="5">
    <mergeCell ref="A2:F2"/>
    <mergeCell ref="A3:F4"/>
    <mergeCell ref="E5:F5"/>
    <mergeCell ref="A6:B6"/>
    <mergeCell ref="D6:E6"/>
  </mergeCells>
  <pageMargins left="0.63" right="2.2799999999999998" top="2.72" bottom="2.58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M23"/>
  <sheetViews>
    <sheetView rightToLeft="1" view="pageBreakPreview" zoomScaleNormal="100" zoomScaleSheetLayoutView="100" workbookViewId="0">
      <selection activeCell="H4" sqref="H4:I4"/>
    </sheetView>
  </sheetViews>
  <sheetFormatPr defaultRowHeight="12.75" x14ac:dyDescent="0.2"/>
  <cols>
    <col min="1" max="1" width="11.140625" style="6" customWidth="1"/>
    <col min="2" max="2" width="9.140625" style="6" customWidth="1"/>
    <col min="3" max="3" width="12.7109375" style="6" customWidth="1"/>
    <col min="4" max="4" width="12.85546875" style="6" customWidth="1"/>
    <col min="5" max="5" width="13.28515625" style="6" customWidth="1"/>
    <col min="6" max="6" width="16.42578125" style="6" customWidth="1"/>
    <col min="7" max="7" width="15.140625" style="6" customWidth="1"/>
    <col min="8" max="8" width="15.5703125" style="6" customWidth="1"/>
    <col min="9" max="9" width="2.85546875" style="6" hidden="1" customWidth="1"/>
  </cols>
  <sheetData>
    <row r="1" spans="1:13" ht="30.75" customHeight="1" x14ac:dyDescent="0.2">
      <c r="A1" s="903" t="s">
        <v>454</v>
      </c>
      <c r="B1" s="903"/>
      <c r="C1" s="903"/>
      <c r="D1" s="903"/>
      <c r="E1" s="903"/>
      <c r="F1" s="903"/>
      <c r="G1" s="903"/>
      <c r="H1" s="15"/>
    </row>
    <row r="2" spans="1:13" ht="15" customHeight="1" x14ac:dyDescent="0.2">
      <c r="A2" s="911" t="s">
        <v>413</v>
      </c>
      <c r="B2" s="911"/>
      <c r="C2" s="911"/>
      <c r="D2" s="911"/>
      <c r="E2" s="911"/>
      <c r="F2" s="911"/>
      <c r="G2" s="911"/>
      <c r="H2" s="911"/>
    </row>
    <row r="3" spans="1:13" ht="15" customHeight="1" x14ac:dyDescent="0.2">
      <c r="A3" s="911"/>
      <c r="B3" s="911"/>
      <c r="C3" s="911"/>
      <c r="D3" s="911"/>
      <c r="E3" s="911"/>
      <c r="F3" s="911"/>
      <c r="G3" s="911"/>
      <c r="H3" s="911"/>
    </row>
    <row r="4" spans="1:13" s="6" customFormat="1" ht="15" customHeight="1" x14ac:dyDescent="0.25">
      <c r="A4" s="638"/>
      <c r="B4" s="638"/>
      <c r="C4" s="638"/>
      <c r="D4" s="638"/>
      <c r="E4" s="638"/>
      <c r="F4" s="638"/>
      <c r="G4" s="638"/>
      <c r="H4" s="899" t="s">
        <v>477</v>
      </c>
      <c r="I4" s="899"/>
    </row>
    <row r="5" spans="1:13" ht="18.75" customHeight="1" thickBot="1" x14ac:dyDescent="0.3">
      <c r="A5" s="60" t="s">
        <v>375</v>
      </c>
      <c r="B5" s="24" t="s">
        <v>146</v>
      </c>
      <c r="C5" s="24"/>
      <c r="D5" s="24"/>
      <c r="E5" s="64"/>
      <c r="F5" s="933" t="s">
        <v>150</v>
      </c>
      <c r="G5" s="933"/>
      <c r="H5" s="640" t="s">
        <v>117</v>
      </c>
    </row>
    <row r="6" spans="1:13" ht="45.75" customHeight="1" x14ac:dyDescent="0.25">
      <c r="A6" s="42"/>
      <c r="B6" s="635" t="s">
        <v>103</v>
      </c>
      <c r="C6" s="636" t="s">
        <v>420</v>
      </c>
      <c r="D6" s="634" t="s">
        <v>455</v>
      </c>
      <c r="E6" s="634" t="s">
        <v>115</v>
      </c>
      <c r="F6" s="634" t="s">
        <v>116</v>
      </c>
      <c r="G6" s="634" t="s">
        <v>121</v>
      </c>
      <c r="H6" s="67"/>
    </row>
    <row r="7" spans="1:13" ht="30.75" customHeight="1" x14ac:dyDescent="0.25">
      <c r="A7" s="18"/>
      <c r="B7" s="305" t="s">
        <v>142</v>
      </c>
      <c r="C7" s="305" t="s">
        <v>359</v>
      </c>
      <c r="D7" s="637" t="s">
        <v>361</v>
      </c>
      <c r="E7" s="305" t="s">
        <v>139</v>
      </c>
      <c r="F7" s="305" t="s">
        <v>138</v>
      </c>
      <c r="G7" s="305" t="s">
        <v>143</v>
      </c>
      <c r="H7" s="18"/>
      <c r="M7" s="643"/>
    </row>
    <row r="8" spans="1:13" ht="17.25" customHeight="1" thickBot="1" x14ac:dyDescent="0.25">
      <c r="A8" s="641" t="s">
        <v>77</v>
      </c>
      <c r="B8" s="641" t="s">
        <v>129</v>
      </c>
      <c r="C8" s="641"/>
      <c r="D8" s="303" t="s">
        <v>360</v>
      </c>
      <c r="E8" s="641" t="s">
        <v>128</v>
      </c>
      <c r="F8" s="641" t="s">
        <v>128</v>
      </c>
      <c r="G8" s="641"/>
      <c r="H8" s="59" t="s">
        <v>26</v>
      </c>
    </row>
    <row r="9" spans="1:13" s="289" customFormat="1" ht="17.25" customHeight="1" thickTop="1" x14ac:dyDescent="0.25">
      <c r="A9" s="481" t="s">
        <v>356</v>
      </c>
      <c r="B9" s="743">
        <v>0</v>
      </c>
      <c r="C9" s="743">
        <v>0</v>
      </c>
      <c r="D9" s="743">
        <v>1</v>
      </c>
      <c r="E9" s="743">
        <v>4318</v>
      </c>
      <c r="F9" s="743">
        <v>322</v>
      </c>
      <c r="G9" s="478">
        <v>59595</v>
      </c>
      <c r="H9" s="478" t="s">
        <v>357</v>
      </c>
    </row>
    <row r="10" spans="1:13" s="289" customFormat="1" ht="15.75" customHeight="1" x14ac:dyDescent="0.25">
      <c r="A10" s="480" t="s">
        <v>3</v>
      </c>
      <c r="B10" s="170">
        <v>0</v>
      </c>
      <c r="C10" s="170">
        <v>1</v>
      </c>
      <c r="D10" s="170">
        <v>1</v>
      </c>
      <c r="E10" s="79">
        <v>674</v>
      </c>
      <c r="F10" s="79">
        <v>337</v>
      </c>
      <c r="G10" s="76">
        <v>84240</v>
      </c>
      <c r="H10" s="170" t="s">
        <v>15</v>
      </c>
    </row>
    <row r="11" spans="1:13" s="289" customFormat="1" ht="17.25" customHeight="1" x14ac:dyDescent="0.25">
      <c r="A11" s="481" t="s">
        <v>4</v>
      </c>
      <c r="B11" s="478">
        <v>2</v>
      </c>
      <c r="C11" s="478">
        <v>0</v>
      </c>
      <c r="D11" s="478">
        <v>0</v>
      </c>
      <c r="E11" s="482">
        <v>448</v>
      </c>
      <c r="F11" s="482">
        <v>157</v>
      </c>
      <c r="G11" s="153">
        <v>49426</v>
      </c>
      <c r="H11" s="478" t="s">
        <v>16</v>
      </c>
    </row>
    <row r="12" spans="1:13" s="289" customFormat="1" ht="14.1" customHeight="1" x14ac:dyDescent="0.25">
      <c r="A12" s="480" t="s">
        <v>11</v>
      </c>
      <c r="B12" s="170">
        <v>1</v>
      </c>
      <c r="C12" s="170">
        <v>0</v>
      </c>
      <c r="D12" s="170">
        <v>0</v>
      </c>
      <c r="E12" s="79">
        <v>74</v>
      </c>
      <c r="F12" s="79">
        <v>15</v>
      </c>
      <c r="G12" s="76">
        <v>7400</v>
      </c>
      <c r="H12" s="170" t="s">
        <v>21</v>
      </c>
    </row>
    <row r="13" spans="1:13" s="289" customFormat="1" ht="14.1" customHeight="1" x14ac:dyDescent="0.25">
      <c r="A13" s="481" t="s">
        <v>2</v>
      </c>
      <c r="B13" s="478">
        <v>0</v>
      </c>
      <c r="C13" s="478">
        <v>0</v>
      </c>
      <c r="D13" s="478">
        <v>1</v>
      </c>
      <c r="E13" s="482">
        <v>229</v>
      </c>
      <c r="F13" s="482">
        <v>248</v>
      </c>
      <c r="G13" s="153">
        <v>124000</v>
      </c>
      <c r="H13" s="478" t="s">
        <v>14</v>
      </c>
    </row>
    <row r="14" spans="1:13" s="289" customFormat="1" ht="14.1" customHeight="1" x14ac:dyDescent="0.25">
      <c r="A14" s="480" t="s">
        <v>7</v>
      </c>
      <c r="B14" s="170">
        <v>2</v>
      </c>
      <c r="C14" s="170">
        <v>0</v>
      </c>
      <c r="D14" s="170">
        <v>0</v>
      </c>
      <c r="E14" s="79">
        <v>506</v>
      </c>
      <c r="F14" s="79">
        <v>324</v>
      </c>
      <c r="G14" s="76">
        <v>137700</v>
      </c>
      <c r="H14" s="170" t="s">
        <v>390</v>
      </c>
    </row>
    <row r="15" spans="1:13" s="289" customFormat="1" ht="14.1" customHeight="1" x14ac:dyDescent="0.25">
      <c r="A15" s="481" t="s">
        <v>8</v>
      </c>
      <c r="B15" s="478">
        <v>0</v>
      </c>
      <c r="C15" s="478">
        <v>1</v>
      </c>
      <c r="D15" s="478">
        <v>0</v>
      </c>
      <c r="E15" s="482">
        <v>1556</v>
      </c>
      <c r="F15" s="482">
        <v>635</v>
      </c>
      <c r="G15" s="153">
        <v>190476</v>
      </c>
      <c r="H15" s="478" t="s">
        <v>18</v>
      </c>
    </row>
    <row r="16" spans="1:13" s="289" customFormat="1" ht="14.1" customHeight="1" x14ac:dyDescent="0.25">
      <c r="A16" s="480" t="s">
        <v>10</v>
      </c>
      <c r="B16" s="170">
        <v>0</v>
      </c>
      <c r="C16" s="170">
        <v>1</v>
      </c>
      <c r="D16" s="170">
        <v>0</v>
      </c>
      <c r="E16" s="79">
        <v>522</v>
      </c>
      <c r="F16" s="79">
        <v>278</v>
      </c>
      <c r="G16" s="76">
        <v>69375</v>
      </c>
      <c r="H16" s="170" t="s">
        <v>20</v>
      </c>
    </row>
    <row r="17" spans="1:8" s="289" customFormat="1" ht="14.1" customHeight="1" x14ac:dyDescent="0.25">
      <c r="A17" s="481" t="s">
        <v>12</v>
      </c>
      <c r="B17" s="478">
        <v>0</v>
      </c>
      <c r="C17" s="478">
        <v>0</v>
      </c>
      <c r="D17" s="478">
        <v>1</v>
      </c>
      <c r="E17" s="482">
        <v>242</v>
      </c>
      <c r="F17" s="482">
        <v>211</v>
      </c>
      <c r="G17" s="153">
        <v>67716</v>
      </c>
      <c r="H17" s="478" t="s">
        <v>25</v>
      </c>
    </row>
    <row r="18" spans="1:8" s="289" customFormat="1" ht="14.1" customHeight="1" thickBot="1" x14ac:dyDescent="0.3">
      <c r="A18" s="480" t="s">
        <v>13</v>
      </c>
      <c r="B18" s="170">
        <v>1</v>
      </c>
      <c r="C18" s="170">
        <v>0</v>
      </c>
      <c r="D18" s="170">
        <v>1</v>
      </c>
      <c r="E18" s="79">
        <v>1135</v>
      </c>
      <c r="F18" s="79">
        <v>2638</v>
      </c>
      <c r="G18" s="76">
        <v>1168998</v>
      </c>
      <c r="H18" s="170" t="s">
        <v>22</v>
      </c>
    </row>
    <row r="19" spans="1:8" s="151" customFormat="1" ht="18" customHeight="1" thickBot="1" x14ac:dyDescent="0.25">
      <c r="A19" s="190" t="s">
        <v>0</v>
      </c>
      <c r="B19" s="386">
        <f t="shared" ref="B19:G19" si="0">SUM(B9:B18)</f>
        <v>6</v>
      </c>
      <c r="C19" s="386">
        <f t="shared" si="0"/>
        <v>3</v>
      </c>
      <c r="D19" s="386">
        <f t="shared" si="0"/>
        <v>5</v>
      </c>
      <c r="E19" s="386">
        <f t="shared" si="0"/>
        <v>9704</v>
      </c>
      <c r="F19" s="386">
        <f t="shared" si="0"/>
        <v>5165</v>
      </c>
      <c r="G19" s="386">
        <f t="shared" si="0"/>
        <v>1958926</v>
      </c>
      <c r="H19" s="191" t="s">
        <v>1</v>
      </c>
    </row>
    <row r="20" spans="1:8" ht="13.5" thickTop="1" x14ac:dyDescent="0.2">
      <c r="A20" s="934" t="s">
        <v>421</v>
      </c>
      <c r="B20" s="934"/>
      <c r="C20" s="934"/>
      <c r="D20" s="934"/>
      <c r="E20" s="934"/>
      <c r="F20" s="934"/>
      <c r="G20" s="934"/>
    </row>
    <row r="21" spans="1:8" s="6" customFormat="1" x14ac:dyDescent="0.2">
      <c r="A21" s="932"/>
      <c r="B21" s="932"/>
      <c r="C21" s="932"/>
      <c r="D21" s="932"/>
      <c r="E21" s="932"/>
      <c r="F21" s="932"/>
      <c r="G21" s="932"/>
    </row>
    <row r="22" spans="1:8" s="6" customFormat="1" x14ac:dyDescent="0.2">
      <c r="A22" s="932"/>
      <c r="B22" s="932"/>
      <c r="C22" s="932"/>
      <c r="D22" s="932"/>
      <c r="E22" s="932"/>
      <c r="F22" s="932"/>
    </row>
    <row r="23" spans="1:8" ht="15" x14ac:dyDescent="0.25">
      <c r="H23" s="639"/>
    </row>
  </sheetData>
  <mergeCells count="7">
    <mergeCell ref="A22:F22"/>
    <mergeCell ref="H4:I4"/>
    <mergeCell ref="A1:G1"/>
    <mergeCell ref="F5:G5"/>
    <mergeCell ref="A2:H3"/>
    <mergeCell ref="A21:G21"/>
    <mergeCell ref="A20:G20"/>
  </mergeCells>
  <phoneticPr fontId="3" type="noConversion"/>
  <printOptions horizontalCentered="1" verticalCentered="1"/>
  <pageMargins left="0.25" right="0.4" top="0.97" bottom="0.98425196850393704" header="1.35" footer="0.51181102362204722"/>
  <pageSetup scale="97" orientation="landscape" verticalDpi="300" r:id="rId1"/>
  <headerFooter alignWithMargins="0">
    <oddFooter>&amp;C19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14"/>
  <sheetViews>
    <sheetView rightToLeft="1" zoomScaleSheetLayoutView="100" workbookViewId="0">
      <selection activeCell="E4" sqref="E4"/>
    </sheetView>
  </sheetViews>
  <sheetFormatPr defaultRowHeight="12.75" x14ac:dyDescent="0.2"/>
  <cols>
    <col min="1" max="1" width="11.140625" customWidth="1"/>
    <col min="2" max="2" width="20.85546875" style="6" customWidth="1"/>
    <col min="3" max="3" width="18.85546875" customWidth="1"/>
    <col min="4" max="4" width="15.140625" customWidth="1"/>
    <col min="5" max="5" width="15.28515625" customWidth="1"/>
    <col min="6" max="6" width="0.5703125" hidden="1" customWidth="1"/>
    <col min="7" max="7" width="0.85546875" hidden="1" customWidth="1"/>
    <col min="8" max="8" width="4.7109375" hidden="1" customWidth="1"/>
    <col min="9" max="9" width="0" hidden="1" customWidth="1"/>
  </cols>
  <sheetData>
    <row r="1" spans="1:9" ht="15" x14ac:dyDescent="0.2">
      <c r="A1" s="903" t="s">
        <v>414</v>
      </c>
      <c r="B1" s="903"/>
      <c r="C1" s="903"/>
      <c r="D1" s="903"/>
      <c r="E1" s="903"/>
    </row>
    <row r="2" spans="1:9" ht="15" customHeight="1" x14ac:dyDescent="0.2">
      <c r="A2" s="911" t="s">
        <v>415</v>
      </c>
      <c r="B2" s="911"/>
      <c r="C2" s="911"/>
      <c r="D2" s="911"/>
      <c r="E2" s="911"/>
    </row>
    <row r="3" spans="1:9" ht="15" customHeight="1" x14ac:dyDescent="0.2">
      <c r="A3" s="911"/>
      <c r="B3" s="911"/>
      <c r="C3" s="911"/>
      <c r="D3" s="911"/>
      <c r="E3" s="911"/>
    </row>
    <row r="4" spans="1:9" s="6" customFormat="1" ht="15" customHeight="1" x14ac:dyDescent="0.2">
      <c r="A4" s="205"/>
      <c r="B4" s="293"/>
      <c r="C4" s="205"/>
      <c r="D4" s="205"/>
      <c r="E4" s="215" t="s">
        <v>477</v>
      </c>
    </row>
    <row r="5" spans="1:9" ht="15" customHeight="1" thickBot="1" x14ac:dyDescent="0.25">
      <c r="A5" s="65" t="s">
        <v>118</v>
      </c>
      <c r="B5" s="295" t="s">
        <v>391</v>
      </c>
      <c r="C5" s="935" t="s">
        <v>311</v>
      </c>
      <c r="D5" s="935"/>
      <c r="E5" s="63" t="s">
        <v>119</v>
      </c>
    </row>
    <row r="6" spans="1:9" ht="15" customHeight="1" x14ac:dyDescent="0.25">
      <c r="A6" s="42"/>
      <c r="B6" s="291" t="s">
        <v>362</v>
      </c>
      <c r="C6" s="34" t="s">
        <v>116</v>
      </c>
      <c r="D6" s="34" t="s">
        <v>121</v>
      </c>
      <c r="E6" s="42"/>
    </row>
    <row r="7" spans="1:9" ht="27.75" customHeight="1" x14ac:dyDescent="0.25">
      <c r="A7" s="68"/>
      <c r="B7" s="298" t="s">
        <v>361</v>
      </c>
      <c r="C7" s="46" t="s">
        <v>138</v>
      </c>
      <c r="D7" s="46" t="s">
        <v>135</v>
      </c>
      <c r="E7" s="68"/>
    </row>
    <row r="8" spans="1:9" ht="15" customHeight="1" thickBot="1" x14ac:dyDescent="0.25">
      <c r="A8" s="189" t="s">
        <v>50</v>
      </c>
      <c r="B8" s="303" t="s">
        <v>360</v>
      </c>
      <c r="C8" s="303" t="s">
        <v>128</v>
      </c>
      <c r="D8" s="56"/>
      <c r="E8" s="189" t="s">
        <v>26</v>
      </c>
      <c r="I8" s="6"/>
    </row>
    <row r="9" spans="1:9" s="289" customFormat="1" ht="16.5" customHeight="1" thickTop="1" x14ac:dyDescent="0.25">
      <c r="A9" s="480" t="s">
        <v>3</v>
      </c>
      <c r="B9" s="304">
        <v>1</v>
      </c>
      <c r="C9" s="304">
        <v>24</v>
      </c>
      <c r="D9" s="76">
        <v>13400</v>
      </c>
      <c r="E9" s="9" t="s">
        <v>15</v>
      </c>
    </row>
    <row r="10" spans="1:9" s="289" customFormat="1" ht="16.5" customHeight="1" x14ac:dyDescent="0.25">
      <c r="A10" s="481" t="s">
        <v>4</v>
      </c>
      <c r="B10" s="662">
        <v>1</v>
      </c>
      <c r="C10" s="662">
        <v>165</v>
      </c>
      <c r="D10" s="153">
        <v>66030</v>
      </c>
      <c r="E10" s="478" t="s">
        <v>16</v>
      </c>
    </row>
    <row r="11" spans="1:9" s="289" customFormat="1" ht="16.5" customHeight="1" thickBot="1" x14ac:dyDescent="0.3">
      <c r="A11" s="480" t="s">
        <v>7</v>
      </c>
      <c r="B11" s="304">
        <v>1</v>
      </c>
      <c r="C11" s="304">
        <v>113</v>
      </c>
      <c r="D11" s="76">
        <v>5812</v>
      </c>
      <c r="E11" s="170" t="s">
        <v>17</v>
      </c>
    </row>
    <row r="12" spans="1:9" s="289" customFormat="1" ht="18.75" customHeight="1" thickBot="1" x14ac:dyDescent="0.25">
      <c r="A12" s="417" t="s">
        <v>0</v>
      </c>
      <c r="B12" s="421">
        <f>SUM(B9:B11)</f>
        <v>3</v>
      </c>
      <c r="C12" s="421">
        <f>SUM(C9:C11)</f>
        <v>302</v>
      </c>
      <c r="D12" s="418">
        <f>SUM(D9:D11)</f>
        <v>85242</v>
      </c>
      <c r="E12" s="422" t="s">
        <v>1</v>
      </c>
    </row>
    <row r="13" spans="1:9" ht="13.5" thickTop="1" x14ac:dyDescent="0.2">
      <c r="A13" s="503" t="s">
        <v>450</v>
      </c>
      <c r="B13" s="503"/>
      <c r="C13" s="503"/>
      <c r="D13" s="503"/>
      <c r="E13" s="503"/>
      <c r="F13" s="385"/>
    </row>
    <row r="14" spans="1:9" x14ac:dyDescent="0.2">
      <c r="B14" s="7"/>
    </row>
  </sheetData>
  <mergeCells count="3">
    <mergeCell ref="A1:E1"/>
    <mergeCell ref="A2:E3"/>
    <mergeCell ref="C5:D5"/>
  </mergeCells>
  <phoneticPr fontId="3" type="noConversion"/>
  <printOptions horizontalCentered="1" verticalCentered="1"/>
  <pageMargins left="0.16" right="0.24" top="1.0374015750000001" bottom="0.98425196850393704" header="0.78740157480314998" footer="0.511811023622047"/>
  <pageSetup orientation="landscape" verticalDpi="300" r:id="rId1"/>
  <headerFooter alignWithMargins="0">
    <oddFooter>&amp;C20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21"/>
  <sheetViews>
    <sheetView rightToLeft="1" topLeftCell="B1" zoomScaleSheetLayoutView="100" zoomScalePageLayoutView="90" workbookViewId="0">
      <selection activeCell="I4" sqref="I4:I5"/>
    </sheetView>
  </sheetViews>
  <sheetFormatPr defaultRowHeight="12.75" x14ac:dyDescent="0.2"/>
  <cols>
    <col min="1" max="1" width="1" hidden="1" customWidth="1"/>
    <col min="2" max="2" width="14.28515625" customWidth="1"/>
    <col min="3" max="3" width="16" customWidth="1"/>
    <col min="4" max="4" width="12.7109375" style="6" customWidth="1"/>
    <col min="5" max="5" width="13.7109375" style="6" customWidth="1"/>
    <col min="6" max="6" width="14" customWidth="1"/>
    <col min="7" max="8" width="16.28515625" customWidth="1"/>
    <col min="9" max="9" width="18.85546875" customWidth="1"/>
  </cols>
  <sheetData>
    <row r="1" spans="1:9" ht="15" customHeight="1" x14ac:dyDescent="0.2">
      <c r="A1" s="2"/>
      <c r="B1" s="938" t="s">
        <v>416</v>
      </c>
      <c r="C1" s="938"/>
      <c r="D1" s="938"/>
      <c r="E1" s="938"/>
      <c r="F1" s="938"/>
      <c r="G1" s="938"/>
      <c r="H1" s="938"/>
      <c r="I1" s="243"/>
    </row>
    <row r="2" spans="1:9" ht="17.25" customHeight="1" x14ac:dyDescent="0.2">
      <c r="A2" s="2"/>
      <c r="B2" s="936" t="s">
        <v>417</v>
      </c>
      <c r="C2" s="936"/>
      <c r="D2" s="936"/>
      <c r="E2" s="936"/>
      <c r="F2" s="936"/>
      <c r="G2" s="936"/>
      <c r="H2" s="936"/>
      <c r="I2" s="936"/>
    </row>
    <row r="3" spans="1:9" ht="11.25" customHeight="1" x14ac:dyDescent="0.2">
      <c r="A3" s="2"/>
      <c r="B3" s="936"/>
      <c r="C3" s="936"/>
      <c r="D3" s="936"/>
      <c r="E3" s="936"/>
      <c r="F3" s="936"/>
      <c r="G3" s="936"/>
      <c r="H3" s="936"/>
      <c r="I3" s="936"/>
    </row>
    <row r="4" spans="1:9" s="6" customFormat="1" ht="11.25" customHeight="1" x14ac:dyDescent="0.2">
      <c r="A4" s="2"/>
      <c r="B4" s="230"/>
      <c r="C4" s="230"/>
      <c r="D4" s="644"/>
      <c r="E4" s="296"/>
      <c r="F4" s="230"/>
      <c r="G4" s="230"/>
      <c r="H4" s="230"/>
      <c r="I4" s="939" t="s">
        <v>477</v>
      </c>
    </row>
    <row r="5" spans="1:9" s="6" customFormat="1" ht="11.25" customHeight="1" x14ac:dyDescent="0.2">
      <c r="A5" s="2"/>
      <c r="B5" s="230"/>
      <c r="C5" s="230"/>
      <c r="D5" s="644"/>
      <c r="E5" s="296"/>
      <c r="F5" s="230"/>
      <c r="G5" s="230"/>
      <c r="H5" s="230"/>
      <c r="I5" s="939"/>
    </row>
    <row r="6" spans="1:9" ht="27" customHeight="1" thickBot="1" x14ac:dyDescent="0.25">
      <c r="A6" s="2"/>
      <c r="B6" s="231" t="s">
        <v>376</v>
      </c>
      <c r="C6" s="231" t="s">
        <v>146</v>
      </c>
      <c r="D6" s="231"/>
      <c r="E6" s="231"/>
      <c r="F6" s="231"/>
      <c r="G6" s="937" t="s">
        <v>149</v>
      </c>
      <c r="H6" s="937"/>
      <c r="I6" s="231" t="s">
        <v>110</v>
      </c>
    </row>
    <row r="7" spans="1:9" ht="31.5" customHeight="1" x14ac:dyDescent="0.25">
      <c r="A7" s="2"/>
      <c r="B7" s="232"/>
      <c r="C7" s="232" t="s">
        <v>426</v>
      </c>
      <c r="D7" s="232" t="s">
        <v>424</v>
      </c>
      <c r="E7" s="232" t="s">
        <v>363</v>
      </c>
      <c r="F7" s="510" t="s">
        <v>192</v>
      </c>
      <c r="G7" s="232" t="s">
        <v>78</v>
      </c>
      <c r="H7" s="232" t="s">
        <v>123</v>
      </c>
      <c r="I7" s="233"/>
    </row>
    <row r="8" spans="1:9" ht="24.75" customHeight="1" x14ac:dyDescent="0.25">
      <c r="A8" s="2"/>
      <c r="B8" s="234"/>
      <c r="C8" s="241" t="s">
        <v>364</v>
      </c>
      <c r="D8" s="241"/>
      <c r="E8" s="235" t="s">
        <v>365</v>
      </c>
      <c r="F8" s="236" t="s">
        <v>139</v>
      </c>
      <c r="G8" s="236" t="s">
        <v>138</v>
      </c>
      <c r="H8" s="511" t="s">
        <v>135</v>
      </c>
      <c r="I8" s="237"/>
    </row>
    <row r="9" spans="1:9" ht="19.5" customHeight="1" thickBot="1" x14ac:dyDescent="0.3">
      <c r="A9" s="2"/>
      <c r="B9" s="238" t="s">
        <v>52</v>
      </c>
      <c r="C9" s="239" t="s">
        <v>129</v>
      </c>
      <c r="D9" s="239"/>
      <c r="E9" s="239" t="s">
        <v>129</v>
      </c>
      <c r="F9" s="238" t="s">
        <v>128</v>
      </c>
      <c r="G9" s="238" t="s">
        <v>128</v>
      </c>
      <c r="H9" s="238"/>
      <c r="I9" s="240" t="s">
        <v>26</v>
      </c>
    </row>
    <row r="10" spans="1:9" s="289" customFormat="1" ht="19.5" customHeight="1" thickTop="1" x14ac:dyDescent="0.25">
      <c r="A10" s="423"/>
      <c r="B10" s="480" t="s">
        <v>356</v>
      </c>
      <c r="C10" s="745">
        <v>0</v>
      </c>
      <c r="D10" s="745">
        <v>0</v>
      </c>
      <c r="E10" s="745">
        <v>4</v>
      </c>
      <c r="F10" s="746">
        <v>1245</v>
      </c>
      <c r="G10" s="746">
        <v>2231</v>
      </c>
      <c r="H10" s="497">
        <v>817423</v>
      </c>
      <c r="I10" s="497" t="s">
        <v>357</v>
      </c>
    </row>
    <row r="11" spans="1:9" s="289" customFormat="1" ht="19.5" customHeight="1" x14ac:dyDescent="0.25">
      <c r="A11" s="423"/>
      <c r="B11" s="481" t="s">
        <v>30</v>
      </c>
      <c r="C11" s="747">
        <v>0</v>
      </c>
      <c r="D11" s="747">
        <v>0</v>
      </c>
      <c r="E11" s="747">
        <v>1</v>
      </c>
      <c r="F11" s="748">
        <v>893</v>
      </c>
      <c r="G11" s="748">
        <v>1357</v>
      </c>
      <c r="H11" s="749">
        <v>407250</v>
      </c>
      <c r="I11" s="478" t="s">
        <v>31</v>
      </c>
    </row>
    <row r="12" spans="1:9" s="289" customFormat="1" ht="19.5" customHeight="1" x14ac:dyDescent="0.25">
      <c r="A12" s="423"/>
      <c r="B12" s="480" t="s">
        <v>3</v>
      </c>
      <c r="C12" s="494">
        <v>2</v>
      </c>
      <c r="D12" s="494">
        <v>0</v>
      </c>
      <c r="E12" s="494">
        <v>0</v>
      </c>
      <c r="F12" s="494">
        <v>2098</v>
      </c>
      <c r="G12" s="494">
        <v>588</v>
      </c>
      <c r="H12" s="495">
        <v>149364</v>
      </c>
      <c r="I12" s="496" t="s">
        <v>15</v>
      </c>
    </row>
    <row r="13" spans="1:9" s="289" customFormat="1" ht="18" customHeight="1" x14ac:dyDescent="0.25">
      <c r="A13" s="423"/>
      <c r="B13" s="242" t="s">
        <v>342</v>
      </c>
      <c r="C13" s="425">
        <v>1</v>
      </c>
      <c r="D13" s="425">
        <v>0</v>
      </c>
      <c r="E13" s="425">
        <v>0</v>
      </c>
      <c r="F13" s="425">
        <v>220</v>
      </c>
      <c r="G13" s="425">
        <v>324</v>
      </c>
      <c r="H13" s="426">
        <v>112896</v>
      </c>
      <c r="I13" s="424" t="s">
        <v>337</v>
      </c>
    </row>
    <row r="14" spans="1:9" s="289" customFormat="1" ht="18" customHeight="1" x14ac:dyDescent="0.25">
      <c r="A14" s="423"/>
      <c r="B14" s="480" t="s">
        <v>4</v>
      </c>
      <c r="C14" s="494">
        <v>4</v>
      </c>
      <c r="D14" s="494">
        <v>2</v>
      </c>
      <c r="E14" s="494">
        <v>0</v>
      </c>
      <c r="F14" s="494">
        <v>7815</v>
      </c>
      <c r="G14" s="494">
        <v>7331</v>
      </c>
      <c r="H14" s="495">
        <v>2736510</v>
      </c>
      <c r="I14" s="497" t="s">
        <v>16</v>
      </c>
    </row>
    <row r="15" spans="1:9" s="289" customFormat="1" ht="17.25" customHeight="1" x14ac:dyDescent="0.25">
      <c r="A15" s="423"/>
      <c r="B15" s="242" t="s">
        <v>2</v>
      </c>
      <c r="C15" s="425">
        <v>1</v>
      </c>
      <c r="D15" s="425">
        <v>0</v>
      </c>
      <c r="E15" s="425">
        <v>0</v>
      </c>
      <c r="F15" s="425">
        <v>192</v>
      </c>
      <c r="G15" s="425">
        <v>360</v>
      </c>
      <c r="H15" s="426">
        <v>107880</v>
      </c>
      <c r="I15" s="491" t="s">
        <v>14</v>
      </c>
    </row>
    <row r="16" spans="1:9" s="289" customFormat="1" ht="15" customHeight="1" x14ac:dyDescent="0.25">
      <c r="A16" s="423"/>
      <c r="B16" s="480" t="s">
        <v>422</v>
      </c>
      <c r="C16" s="480">
        <v>0</v>
      </c>
      <c r="D16" s="480">
        <v>1</v>
      </c>
      <c r="E16" s="494">
        <v>0</v>
      </c>
      <c r="F16" s="494">
        <v>265</v>
      </c>
      <c r="G16" s="494">
        <v>796</v>
      </c>
      <c r="H16" s="495">
        <v>318384</v>
      </c>
      <c r="I16" s="497" t="s">
        <v>19</v>
      </c>
    </row>
    <row r="17" spans="1:9" s="289" customFormat="1" ht="18.75" customHeight="1" thickBot="1" x14ac:dyDescent="0.3">
      <c r="A17" s="423"/>
      <c r="B17" s="242" t="s">
        <v>13</v>
      </c>
      <c r="C17" s="425">
        <v>1</v>
      </c>
      <c r="D17" s="425">
        <v>0</v>
      </c>
      <c r="E17" s="425">
        <v>1</v>
      </c>
      <c r="F17" s="425">
        <v>1310</v>
      </c>
      <c r="G17" s="425">
        <v>884</v>
      </c>
      <c r="H17" s="426">
        <v>353460</v>
      </c>
      <c r="I17" s="491" t="s">
        <v>22</v>
      </c>
    </row>
    <row r="18" spans="1:9" s="289" customFormat="1" ht="19.5" customHeight="1" thickTop="1" thickBot="1" x14ac:dyDescent="0.25">
      <c r="A18" s="423"/>
      <c r="B18" s="831" t="s">
        <v>0</v>
      </c>
      <c r="C18" s="832">
        <f t="shared" ref="C18:H18" si="0">SUM(C10:C17)</f>
        <v>9</v>
      </c>
      <c r="D18" s="833">
        <f t="shared" si="0"/>
        <v>3</v>
      </c>
      <c r="E18" s="832">
        <f t="shared" si="0"/>
        <v>6</v>
      </c>
      <c r="F18" s="832">
        <f t="shared" si="0"/>
        <v>14038</v>
      </c>
      <c r="G18" s="832">
        <f t="shared" si="0"/>
        <v>13871</v>
      </c>
      <c r="H18" s="833">
        <f t="shared" si="0"/>
        <v>5003167</v>
      </c>
      <c r="I18" s="834" t="s">
        <v>1</v>
      </c>
    </row>
    <row r="19" spans="1:9" ht="16.5" thickTop="1" x14ac:dyDescent="0.25">
      <c r="B19" s="13" t="s">
        <v>425</v>
      </c>
      <c r="C19" s="13"/>
      <c r="D19" s="13"/>
      <c r="E19" s="13"/>
      <c r="F19" s="242"/>
      <c r="G19" s="242"/>
      <c r="H19" s="237"/>
      <c r="I19" s="237"/>
    </row>
    <row r="20" spans="1:9" ht="15.75" x14ac:dyDescent="0.25">
      <c r="B20" s="940"/>
      <c r="C20" s="940"/>
      <c r="D20" s="940"/>
      <c r="E20" s="940"/>
      <c r="F20" s="940"/>
      <c r="G20" s="940"/>
      <c r="H20" s="237"/>
      <c r="I20" s="237"/>
    </row>
    <row r="21" spans="1:9" ht="15" x14ac:dyDescent="0.25">
      <c r="I21" s="57"/>
    </row>
  </sheetData>
  <mergeCells count="5">
    <mergeCell ref="B2:I3"/>
    <mergeCell ref="G6:H6"/>
    <mergeCell ref="B1:H1"/>
    <mergeCell ref="I4:I5"/>
    <mergeCell ref="B20:G20"/>
  </mergeCells>
  <phoneticPr fontId="3" type="noConversion"/>
  <printOptions horizontalCentered="1" verticalCentered="1"/>
  <pageMargins left="0.15748031496063" right="0.36" top="1.0374015750000001" bottom="0.98425196850393704" header="0.78740157480314998" footer="0.511811023622047"/>
  <pageSetup scale="81" orientation="landscape" verticalDpi="300" r:id="rId1"/>
  <headerFooter alignWithMargins="0">
    <oddFooter>&amp;C21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4"/>
  <sheetViews>
    <sheetView rightToLeft="1" showWhiteSpace="0" zoomScaleSheetLayoutView="100" workbookViewId="0">
      <selection activeCell="K13" sqref="K13"/>
    </sheetView>
  </sheetViews>
  <sheetFormatPr defaultRowHeight="12.75" x14ac:dyDescent="0.2"/>
  <cols>
    <col min="1" max="1" width="0.42578125" customWidth="1"/>
    <col min="2" max="2" width="19" customWidth="1"/>
    <col min="3" max="3" width="12.7109375" style="6" customWidth="1"/>
    <col min="4" max="4" width="18.7109375" customWidth="1"/>
    <col min="5" max="5" width="17.5703125" customWidth="1"/>
    <col min="6" max="6" width="16" customWidth="1"/>
    <col min="7" max="7" width="20.85546875" customWidth="1"/>
  </cols>
  <sheetData>
    <row r="1" spans="1:7" ht="21" customHeight="1" x14ac:dyDescent="0.25">
      <c r="A1" s="18"/>
      <c r="B1" s="903" t="s">
        <v>456</v>
      </c>
      <c r="C1" s="903"/>
      <c r="D1" s="903"/>
      <c r="E1" s="903"/>
      <c r="F1" s="903"/>
      <c r="G1" s="903"/>
    </row>
    <row r="2" spans="1:7" ht="15" customHeight="1" x14ac:dyDescent="0.25">
      <c r="A2" s="18"/>
      <c r="B2" s="911" t="s">
        <v>418</v>
      </c>
      <c r="C2" s="911"/>
      <c r="D2" s="911"/>
      <c r="E2" s="911"/>
      <c r="F2" s="911"/>
      <c r="G2" s="911"/>
    </row>
    <row r="3" spans="1:7" ht="15" x14ac:dyDescent="0.25">
      <c r="A3" s="18"/>
      <c r="B3" s="911"/>
      <c r="C3" s="911"/>
      <c r="D3" s="911"/>
      <c r="E3" s="911"/>
      <c r="F3" s="911"/>
      <c r="G3" s="911"/>
    </row>
    <row r="4" spans="1:7" s="6" customFormat="1" ht="15" x14ac:dyDescent="0.25">
      <c r="A4" s="18"/>
      <c r="B4" s="903"/>
      <c r="C4" s="903"/>
      <c r="D4" s="903"/>
      <c r="E4" s="903"/>
      <c r="F4" s="903"/>
      <c r="G4" s="903" t="s">
        <v>202</v>
      </c>
    </row>
    <row r="5" spans="1:7" ht="21" customHeight="1" thickBot="1" x14ac:dyDescent="0.3">
      <c r="A5" s="18"/>
      <c r="B5" s="64" t="s">
        <v>111</v>
      </c>
      <c r="C5" s="506" t="s">
        <v>457</v>
      </c>
      <c r="D5" s="506"/>
      <c r="E5" s="942" t="s">
        <v>311</v>
      </c>
      <c r="F5" s="942"/>
      <c r="G5" s="61" t="s">
        <v>112</v>
      </c>
    </row>
    <row r="6" spans="1:7" ht="15" customHeight="1" x14ac:dyDescent="0.25">
      <c r="A6" s="18"/>
      <c r="B6" s="34"/>
      <c r="C6" s="474" t="s">
        <v>427</v>
      </c>
      <c r="D6" s="807" t="s">
        <v>428</v>
      </c>
      <c r="E6" s="26" t="s">
        <v>78</v>
      </c>
      <c r="F6" s="26" t="s">
        <v>124</v>
      </c>
      <c r="G6" s="34"/>
    </row>
    <row r="7" spans="1:7" ht="15" customHeight="1" x14ac:dyDescent="0.25">
      <c r="A7" s="18"/>
      <c r="B7" s="18"/>
      <c r="C7" s="18"/>
      <c r="D7" s="46"/>
      <c r="E7" s="46" t="s">
        <v>138</v>
      </c>
      <c r="F7" s="500" t="s">
        <v>135</v>
      </c>
      <c r="G7" s="18"/>
    </row>
    <row r="8" spans="1:7" ht="15" customHeight="1" thickBot="1" x14ac:dyDescent="0.3">
      <c r="A8" s="941" t="s">
        <v>140</v>
      </c>
      <c r="B8" s="941"/>
      <c r="C8" s="477" t="s">
        <v>43</v>
      </c>
      <c r="D8" s="69" t="s">
        <v>128</v>
      </c>
      <c r="E8" s="69" t="s">
        <v>128</v>
      </c>
      <c r="F8" s="303" t="s">
        <v>127</v>
      </c>
      <c r="G8" s="43" t="s">
        <v>26</v>
      </c>
    </row>
    <row r="9" spans="1:7" s="6" customFormat="1" ht="15" customHeight="1" thickTop="1" x14ac:dyDescent="0.25">
      <c r="A9" s="18"/>
      <c r="B9" s="242" t="s">
        <v>423</v>
      </c>
      <c r="C9" s="490">
        <v>1</v>
      </c>
      <c r="D9" s="80">
        <v>0</v>
      </c>
      <c r="E9" s="78">
        <v>98</v>
      </c>
      <c r="F9" s="77">
        <v>24605</v>
      </c>
      <c r="G9" s="879" t="s">
        <v>20</v>
      </c>
    </row>
    <row r="10" spans="1:7" ht="15" customHeight="1" thickBot="1" x14ac:dyDescent="0.3">
      <c r="A10" s="18"/>
      <c r="B10" s="480" t="s">
        <v>13</v>
      </c>
      <c r="C10" s="483">
        <v>0</v>
      </c>
      <c r="D10" s="9">
        <v>1</v>
      </c>
      <c r="E10" s="9">
        <v>56</v>
      </c>
      <c r="F10" s="170">
        <v>22360</v>
      </c>
      <c r="G10" s="170" t="s">
        <v>22</v>
      </c>
    </row>
    <row r="11" spans="1:7" ht="15.75" customHeight="1" thickBot="1" x14ac:dyDescent="0.25">
      <c r="A11" s="4"/>
      <c r="B11" s="187" t="s">
        <v>0</v>
      </c>
      <c r="C11" s="188">
        <f>SUM(C9:C10)</f>
        <v>1</v>
      </c>
      <c r="D11" s="663">
        <f>SUM(D9:D10)</f>
        <v>1</v>
      </c>
      <c r="E11" s="183">
        <f>SUM(E9:E10)</f>
        <v>154</v>
      </c>
      <c r="F11" s="386">
        <f>SUM(F9:F10)</f>
        <v>46965</v>
      </c>
      <c r="G11" s="188" t="s">
        <v>1</v>
      </c>
    </row>
    <row r="12" spans="1:7" ht="15.75" thickTop="1" x14ac:dyDescent="0.25">
      <c r="B12" s="13" t="s">
        <v>425</v>
      </c>
      <c r="C12" s="13"/>
      <c r="D12" s="13"/>
      <c r="E12" s="13"/>
      <c r="F12" s="221"/>
      <c r="G12" s="57"/>
    </row>
    <row r="13" spans="1:7" x14ac:dyDescent="0.2">
      <c r="B13" s="932"/>
      <c r="C13" s="932"/>
      <c r="D13" s="932"/>
      <c r="E13" s="932"/>
      <c r="F13" s="932"/>
      <c r="G13" s="932"/>
    </row>
    <row r="14" spans="1:7" x14ac:dyDescent="0.2">
      <c r="D14" s="6"/>
      <c r="E14" s="6"/>
      <c r="F14" s="6"/>
    </row>
  </sheetData>
  <mergeCells count="6">
    <mergeCell ref="B13:G13"/>
    <mergeCell ref="A8:B8"/>
    <mergeCell ref="B1:G1"/>
    <mergeCell ref="B2:G3"/>
    <mergeCell ref="E5:F5"/>
    <mergeCell ref="B4:G4"/>
  </mergeCells>
  <phoneticPr fontId="3" type="noConversion"/>
  <printOptions horizontalCentered="1" verticalCentered="1"/>
  <pageMargins left="0.51" right="1.47" top="1.0374015750000001" bottom="0.98425196850393704" header="0.78740157480314998" footer="0.511811023622047"/>
  <pageSetup scale="95" orientation="landscape" verticalDpi="300" r:id="rId1"/>
  <headerFooter alignWithMargins="0">
    <oddFooter>&amp;C22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37"/>
  <sheetViews>
    <sheetView rightToLeft="1" zoomScale="106" zoomScaleNormal="106" zoomScaleSheetLayoutView="124" zoomScalePageLayoutView="91" workbookViewId="0">
      <selection activeCell="B9" sqref="B9"/>
    </sheetView>
  </sheetViews>
  <sheetFormatPr defaultRowHeight="12.75" x14ac:dyDescent="0.2"/>
  <cols>
    <col min="1" max="1" width="8.140625" customWidth="1"/>
    <col min="2" max="2" width="9.5703125" customWidth="1"/>
    <col min="3" max="3" width="12.5703125" style="173" customWidth="1"/>
    <col min="4" max="4" width="7.5703125" customWidth="1"/>
    <col min="5" max="5" width="13.140625" customWidth="1"/>
    <col min="6" max="6" width="8.7109375" customWidth="1"/>
    <col min="7" max="7" width="13.140625" customWidth="1"/>
    <col min="8" max="8" width="9.28515625" style="6" customWidth="1"/>
    <col min="9" max="9" width="14.140625" customWidth="1"/>
    <col min="10" max="10" width="13.5703125" style="274" customWidth="1"/>
    <col min="11" max="11" width="13" customWidth="1"/>
    <col min="12" max="12" width="13.85546875" customWidth="1"/>
  </cols>
  <sheetData>
    <row r="1" spans="1:14" ht="16.5" customHeight="1" x14ac:dyDescent="0.2">
      <c r="A1" s="903" t="s">
        <v>429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75" t="s">
        <v>205</v>
      </c>
    </row>
    <row r="2" spans="1:14" ht="15" customHeight="1" x14ac:dyDescent="0.2">
      <c r="A2" s="924" t="s">
        <v>430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78" t="s">
        <v>201</v>
      </c>
    </row>
    <row r="3" spans="1:14" ht="19.5" customHeight="1" thickBot="1" x14ac:dyDescent="0.3">
      <c r="A3" s="944" t="s">
        <v>377</v>
      </c>
      <c r="B3" s="944"/>
      <c r="C3" s="78"/>
      <c r="D3" s="51"/>
      <c r="E3" s="51"/>
      <c r="F3" s="68"/>
      <c r="G3" s="68"/>
      <c r="H3" s="68"/>
      <c r="I3" s="51"/>
      <c r="J3" s="275"/>
      <c r="K3" s="51"/>
      <c r="L3" s="51" t="s">
        <v>84</v>
      </c>
    </row>
    <row r="4" spans="1:14" s="373" customFormat="1" ht="25.5" customHeight="1" x14ac:dyDescent="0.2">
      <c r="A4" s="374"/>
      <c r="B4" s="945" t="s">
        <v>85</v>
      </c>
      <c r="C4" s="945"/>
      <c r="D4" s="945" t="s">
        <v>86</v>
      </c>
      <c r="E4" s="945"/>
      <c r="F4" s="945" t="s">
        <v>87</v>
      </c>
      <c r="G4" s="945"/>
      <c r="H4" s="376"/>
      <c r="I4" s="376" t="s">
        <v>0</v>
      </c>
      <c r="J4" s="946" t="s">
        <v>458</v>
      </c>
      <c r="K4" s="946"/>
      <c r="L4" s="374"/>
    </row>
    <row r="5" spans="1:14" ht="25.5" customHeight="1" x14ac:dyDescent="0.2">
      <c r="B5" s="943" t="s">
        <v>88</v>
      </c>
      <c r="C5" s="943"/>
      <c r="D5" s="943" t="s">
        <v>89</v>
      </c>
      <c r="E5" s="943"/>
      <c r="F5" s="943" t="s">
        <v>90</v>
      </c>
      <c r="G5" s="943"/>
      <c r="H5" s="297"/>
      <c r="I5" s="276" t="s">
        <v>380</v>
      </c>
      <c r="J5" s="276"/>
      <c r="K5" s="375" t="s">
        <v>380</v>
      </c>
      <c r="L5" s="53"/>
    </row>
    <row r="6" spans="1:14" ht="21.75" customHeight="1" x14ac:dyDescent="0.2">
      <c r="A6" s="613"/>
      <c r="B6" s="255" t="s">
        <v>355</v>
      </c>
      <c r="C6" s="281" t="s">
        <v>459</v>
      </c>
      <c r="D6" s="255" t="s">
        <v>65</v>
      </c>
      <c r="E6" s="610" t="s">
        <v>459</v>
      </c>
      <c r="F6" s="255" t="s">
        <v>355</v>
      </c>
      <c r="G6" s="255" t="s">
        <v>459</v>
      </c>
      <c r="H6" s="255" t="s">
        <v>387</v>
      </c>
      <c r="I6" s="255" t="s">
        <v>459</v>
      </c>
      <c r="J6" s="255" t="s">
        <v>460</v>
      </c>
      <c r="K6" s="255" t="s">
        <v>459</v>
      </c>
      <c r="L6" s="33"/>
    </row>
    <row r="7" spans="1:14" ht="27" customHeight="1" x14ac:dyDescent="0.25">
      <c r="A7" s="604" t="s">
        <v>51</v>
      </c>
      <c r="B7" s="279" t="s">
        <v>129</v>
      </c>
      <c r="C7" s="282" t="s">
        <v>91</v>
      </c>
      <c r="D7" s="279" t="s">
        <v>129</v>
      </c>
      <c r="E7" s="279" t="s">
        <v>91</v>
      </c>
      <c r="F7" s="848" t="s">
        <v>129</v>
      </c>
      <c r="G7" s="279" t="s">
        <v>91</v>
      </c>
      <c r="H7" s="294" t="s">
        <v>129</v>
      </c>
      <c r="I7" s="280" t="s">
        <v>91</v>
      </c>
      <c r="J7" s="279" t="s">
        <v>382</v>
      </c>
      <c r="K7" s="279" t="s">
        <v>91</v>
      </c>
      <c r="L7" s="604" t="s">
        <v>26</v>
      </c>
      <c r="N7" s="6"/>
    </row>
    <row r="8" spans="1:14" ht="15" customHeight="1" x14ac:dyDescent="0.25">
      <c r="A8" s="33" t="s">
        <v>356</v>
      </c>
      <c r="B8" s="285">
        <v>243</v>
      </c>
      <c r="C8" s="283">
        <v>872336</v>
      </c>
      <c r="D8" s="281">
        <v>10</v>
      </c>
      <c r="E8" s="283">
        <v>94201</v>
      </c>
      <c r="F8" s="281">
        <v>39</v>
      </c>
      <c r="G8" s="283">
        <v>688784</v>
      </c>
      <c r="H8" s="283">
        <f>B8+D8+F8</f>
        <v>292</v>
      </c>
      <c r="I8" s="281">
        <f>C8+E8+G8</f>
        <v>1655321</v>
      </c>
      <c r="J8" s="281">
        <v>3030779</v>
      </c>
      <c r="K8" s="281">
        <f>I8+J8</f>
        <v>4686100</v>
      </c>
      <c r="L8" s="52" t="s">
        <v>357</v>
      </c>
      <c r="N8" s="6"/>
    </row>
    <row r="9" spans="1:14" s="151" customFormat="1" ht="15" customHeight="1" x14ac:dyDescent="0.25">
      <c r="A9" s="53" t="s">
        <v>30</v>
      </c>
      <c r="B9" s="284">
        <v>1027</v>
      </c>
      <c r="C9" s="321">
        <v>3681925</v>
      </c>
      <c r="D9" s="282">
        <v>64</v>
      </c>
      <c r="E9" s="321">
        <v>690962</v>
      </c>
      <c r="F9" s="282">
        <v>149</v>
      </c>
      <c r="G9" s="321">
        <v>3073343</v>
      </c>
      <c r="H9" s="321">
        <f t="shared" ref="H9:H22" si="0">B9+D9+F9</f>
        <v>1240</v>
      </c>
      <c r="I9" s="282">
        <f t="shared" ref="I9:I22" si="1">C9+E9+G9</f>
        <v>7446230</v>
      </c>
      <c r="J9" s="282">
        <v>12806289</v>
      </c>
      <c r="K9" s="282">
        <f t="shared" ref="K9:K22" si="2">I9+J9</f>
        <v>20252519</v>
      </c>
      <c r="L9" s="647" t="s">
        <v>31</v>
      </c>
    </row>
    <row r="10" spans="1:14" ht="15" customHeight="1" x14ac:dyDescent="0.25">
      <c r="A10" s="14" t="s">
        <v>3</v>
      </c>
      <c r="B10" s="285">
        <v>1672</v>
      </c>
      <c r="C10" s="283">
        <v>6010086</v>
      </c>
      <c r="D10" s="285">
        <v>154</v>
      </c>
      <c r="E10" s="283">
        <v>1435224</v>
      </c>
      <c r="F10" s="281">
        <v>219</v>
      </c>
      <c r="G10" s="283">
        <v>4859759</v>
      </c>
      <c r="H10" s="283">
        <f t="shared" si="0"/>
        <v>2045</v>
      </c>
      <c r="I10" s="281">
        <f t="shared" si="1"/>
        <v>12305069</v>
      </c>
      <c r="J10" s="281">
        <v>68945216</v>
      </c>
      <c r="K10" s="281">
        <f t="shared" si="2"/>
        <v>81250285</v>
      </c>
      <c r="L10" s="52" t="s">
        <v>15</v>
      </c>
    </row>
    <row r="11" spans="1:14" s="151" customFormat="1" ht="15" customHeight="1" x14ac:dyDescent="0.25">
      <c r="A11" s="645" t="s">
        <v>336</v>
      </c>
      <c r="B11" s="284">
        <v>512</v>
      </c>
      <c r="C11" s="321">
        <v>1692657</v>
      </c>
      <c r="D11" s="284">
        <v>42</v>
      </c>
      <c r="E11" s="321">
        <v>377538</v>
      </c>
      <c r="F11" s="282">
        <v>77</v>
      </c>
      <c r="G11" s="321">
        <v>1483602</v>
      </c>
      <c r="H11" s="321">
        <f t="shared" si="0"/>
        <v>631</v>
      </c>
      <c r="I11" s="282">
        <f t="shared" si="1"/>
        <v>3553797</v>
      </c>
      <c r="J11" s="282">
        <v>2302520</v>
      </c>
      <c r="K11" s="282">
        <f t="shared" si="2"/>
        <v>5856317</v>
      </c>
      <c r="L11" s="647" t="s">
        <v>337</v>
      </c>
    </row>
    <row r="12" spans="1:14" s="151" customFormat="1" ht="15" customHeight="1" x14ac:dyDescent="0.25">
      <c r="A12" s="53" t="s">
        <v>4</v>
      </c>
      <c r="B12" s="284">
        <v>11783</v>
      </c>
      <c r="C12" s="321">
        <v>50812023</v>
      </c>
      <c r="D12" s="282">
        <v>1271</v>
      </c>
      <c r="E12" s="321">
        <v>14127239</v>
      </c>
      <c r="F12" s="282">
        <v>1643</v>
      </c>
      <c r="G12" s="321">
        <v>38801574</v>
      </c>
      <c r="H12" s="321">
        <f t="shared" si="0"/>
        <v>14697</v>
      </c>
      <c r="I12" s="282">
        <f t="shared" si="1"/>
        <v>103740836</v>
      </c>
      <c r="J12" s="282">
        <v>212696224</v>
      </c>
      <c r="K12" s="282">
        <f t="shared" si="2"/>
        <v>316437060</v>
      </c>
      <c r="L12" s="647" t="s">
        <v>16</v>
      </c>
    </row>
    <row r="13" spans="1:14" ht="15" customHeight="1" x14ac:dyDescent="0.25">
      <c r="A13" s="33" t="s">
        <v>5</v>
      </c>
      <c r="B13" s="285">
        <v>1145</v>
      </c>
      <c r="C13" s="283">
        <v>4767136</v>
      </c>
      <c r="D13" s="281">
        <v>77</v>
      </c>
      <c r="E13" s="283">
        <v>902084</v>
      </c>
      <c r="F13" s="281">
        <v>133</v>
      </c>
      <c r="G13" s="283">
        <v>3087033</v>
      </c>
      <c r="H13" s="283">
        <f t="shared" si="0"/>
        <v>1355</v>
      </c>
      <c r="I13" s="281">
        <f t="shared" si="1"/>
        <v>8756253</v>
      </c>
      <c r="J13" s="281">
        <v>6780428</v>
      </c>
      <c r="K13" s="281">
        <f t="shared" si="2"/>
        <v>15536681</v>
      </c>
      <c r="L13" s="52" t="s">
        <v>23</v>
      </c>
    </row>
    <row r="14" spans="1:14" s="151" customFormat="1" ht="15" customHeight="1" x14ac:dyDescent="0.25">
      <c r="A14" s="53" t="s">
        <v>6</v>
      </c>
      <c r="B14" s="284">
        <v>1116</v>
      </c>
      <c r="C14" s="321">
        <v>4197530</v>
      </c>
      <c r="D14" s="282">
        <v>39</v>
      </c>
      <c r="E14" s="321">
        <v>413248</v>
      </c>
      <c r="F14" s="282">
        <v>146</v>
      </c>
      <c r="G14" s="321">
        <v>3238127</v>
      </c>
      <c r="H14" s="321">
        <f t="shared" si="0"/>
        <v>1301</v>
      </c>
      <c r="I14" s="282">
        <f t="shared" si="1"/>
        <v>7848905</v>
      </c>
      <c r="J14" s="282">
        <v>0</v>
      </c>
      <c r="K14" s="282">
        <f t="shared" si="2"/>
        <v>7848905</v>
      </c>
      <c r="L14" s="647" t="s">
        <v>24</v>
      </c>
    </row>
    <row r="15" spans="1:14" ht="15" customHeight="1" x14ac:dyDescent="0.25">
      <c r="A15" s="33" t="s">
        <v>11</v>
      </c>
      <c r="B15" s="285">
        <v>425</v>
      </c>
      <c r="C15" s="283">
        <v>1586539</v>
      </c>
      <c r="D15" s="281">
        <v>25</v>
      </c>
      <c r="E15" s="283">
        <v>274937</v>
      </c>
      <c r="F15" s="281">
        <v>59</v>
      </c>
      <c r="G15" s="283">
        <v>1300855</v>
      </c>
      <c r="H15" s="283">
        <f t="shared" si="0"/>
        <v>509</v>
      </c>
      <c r="I15" s="281">
        <f t="shared" si="1"/>
        <v>3162331</v>
      </c>
      <c r="J15" s="281">
        <v>3024575</v>
      </c>
      <c r="K15" s="281">
        <f t="shared" si="2"/>
        <v>6186906</v>
      </c>
      <c r="L15" s="52" t="s">
        <v>21</v>
      </c>
    </row>
    <row r="16" spans="1:14" s="151" customFormat="1" ht="15" customHeight="1" x14ac:dyDescent="0.25">
      <c r="A16" s="322" t="s">
        <v>2</v>
      </c>
      <c r="B16" s="284">
        <v>422</v>
      </c>
      <c r="C16" s="321">
        <v>1519428</v>
      </c>
      <c r="D16" s="282">
        <v>56</v>
      </c>
      <c r="E16" s="321">
        <v>498593</v>
      </c>
      <c r="F16" s="282">
        <v>58</v>
      </c>
      <c r="G16" s="321">
        <v>1181120</v>
      </c>
      <c r="H16" s="321">
        <f t="shared" si="0"/>
        <v>536</v>
      </c>
      <c r="I16" s="282">
        <f t="shared" si="1"/>
        <v>3199141</v>
      </c>
      <c r="J16" s="282">
        <v>1906527</v>
      </c>
      <c r="K16" s="282">
        <f t="shared" si="2"/>
        <v>5105668</v>
      </c>
      <c r="L16" s="323" t="s">
        <v>14</v>
      </c>
    </row>
    <row r="17" spans="1:12" ht="15" customHeight="1" x14ac:dyDescent="0.25">
      <c r="A17" s="33" t="s">
        <v>7</v>
      </c>
      <c r="B17" s="285">
        <v>1626</v>
      </c>
      <c r="C17" s="283">
        <v>5386235</v>
      </c>
      <c r="D17" s="281">
        <v>91</v>
      </c>
      <c r="E17" s="283">
        <v>747520</v>
      </c>
      <c r="F17" s="281">
        <v>214</v>
      </c>
      <c r="G17" s="283">
        <v>3799816</v>
      </c>
      <c r="H17" s="283">
        <f t="shared" si="0"/>
        <v>1931</v>
      </c>
      <c r="I17" s="281">
        <f t="shared" si="1"/>
        <v>9933571</v>
      </c>
      <c r="J17" s="281">
        <v>20106702</v>
      </c>
      <c r="K17" s="281">
        <f t="shared" si="2"/>
        <v>30040273</v>
      </c>
      <c r="L17" s="52" t="s">
        <v>17</v>
      </c>
    </row>
    <row r="18" spans="1:12" s="151" customFormat="1" ht="15" customHeight="1" x14ac:dyDescent="0.25">
      <c r="A18" s="53" t="s">
        <v>8</v>
      </c>
      <c r="B18" s="284">
        <v>847</v>
      </c>
      <c r="C18" s="321">
        <v>2448208</v>
      </c>
      <c r="D18" s="282">
        <v>47</v>
      </c>
      <c r="E18" s="321">
        <v>399031</v>
      </c>
      <c r="F18" s="282">
        <v>105</v>
      </c>
      <c r="G18" s="321">
        <v>2178054</v>
      </c>
      <c r="H18" s="321">
        <f t="shared" si="0"/>
        <v>999</v>
      </c>
      <c r="I18" s="282">
        <f t="shared" si="1"/>
        <v>5025293</v>
      </c>
      <c r="J18" s="282">
        <v>34650</v>
      </c>
      <c r="K18" s="282">
        <f t="shared" si="2"/>
        <v>5059943</v>
      </c>
      <c r="L18" s="647" t="s">
        <v>18</v>
      </c>
    </row>
    <row r="19" spans="1:12" ht="15" customHeight="1" x14ac:dyDescent="0.25">
      <c r="A19" s="33" t="s">
        <v>9</v>
      </c>
      <c r="B19" s="285">
        <v>827</v>
      </c>
      <c r="C19" s="283">
        <v>2871329</v>
      </c>
      <c r="D19" s="281">
        <v>35</v>
      </c>
      <c r="E19" s="283">
        <v>303992</v>
      </c>
      <c r="F19" s="281">
        <v>96</v>
      </c>
      <c r="G19" s="283">
        <v>1711430</v>
      </c>
      <c r="H19" s="283">
        <f t="shared" si="0"/>
        <v>958</v>
      </c>
      <c r="I19" s="281">
        <f t="shared" si="1"/>
        <v>4886751</v>
      </c>
      <c r="J19" s="281">
        <v>4131066</v>
      </c>
      <c r="K19" s="281">
        <f t="shared" si="2"/>
        <v>9017817</v>
      </c>
      <c r="L19" s="52" t="s">
        <v>19</v>
      </c>
    </row>
    <row r="20" spans="1:12" s="151" customFormat="1" ht="15" customHeight="1" x14ac:dyDescent="0.25">
      <c r="A20" s="53" t="s">
        <v>10</v>
      </c>
      <c r="B20" s="284">
        <v>857</v>
      </c>
      <c r="C20" s="321">
        <v>3089839</v>
      </c>
      <c r="D20" s="282">
        <v>19</v>
      </c>
      <c r="E20" s="321">
        <v>205185</v>
      </c>
      <c r="F20" s="282">
        <v>119</v>
      </c>
      <c r="G20" s="321">
        <v>2656036</v>
      </c>
      <c r="H20" s="321">
        <f t="shared" si="0"/>
        <v>995</v>
      </c>
      <c r="I20" s="282">
        <f t="shared" si="1"/>
        <v>5951060</v>
      </c>
      <c r="J20" s="282">
        <v>9415060</v>
      </c>
      <c r="K20" s="282">
        <f t="shared" si="2"/>
        <v>15366120</v>
      </c>
      <c r="L20" s="647" t="s">
        <v>20</v>
      </c>
    </row>
    <row r="21" spans="1:12" ht="15" customHeight="1" x14ac:dyDescent="0.25">
      <c r="A21" s="53" t="s">
        <v>12</v>
      </c>
      <c r="B21" s="284">
        <v>307</v>
      </c>
      <c r="C21" s="321">
        <v>1109309</v>
      </c>
      <c r="D21" s="282">
        <v>4</v>
      </c>
      <c r="E21" s="321">
        <v>36170</v>
      </c>
      <c r="F21" s="282">
        <v>44</v>
      </c>
      <c r="G21" s="321">
        <v>964837</v>
      </c>
      <c r="H21" s="321">
        <f t="shared" si="0"/>
        <v>355</v>
      </c>
      <c r="I21" s="282">
        <f t="shared" si="1"/>
        <v>2110316</v>
      </c>
      <c r="J21" s="282">
        <v>60228</v>
      </c>
      <c r="K21" s="282">
        <f t="shared" si="2"/>
        <v>2170544</v>
      </c>
      <c r="L21" s="647" t="s">
        <v>25</v>
      </c>
    </row>
    <row r="22" spans="1:12" s="151" customFormat="1" ht="15" customHeight="1" thickBot="1" x14ac:dyDescent="0.3">
      <c r="A22" s="33" t="s">
        <v>13</v>
      </c>
      <c r="B22" s="285">
        <v>1317</v>
      </c>
      <c r="C22" s="283">
        <v>5684006</v>
      </c>
      <c r="D22" s="281">
        <v>31</v>
      </c>
      <c r="E22" s="283">
        <v>378833</v>
      </c>
      <c r="F22" s="281">
        <v>163</v>
      </c>
      <c r="G22" s="283">
        <v>3851590</v>
      </c>
      <c r="H22" s="283">
        <f t="shared" si="0"/>
        <v>1511</v>
      </c>
      <c r="I22" s="281">
        <f t="shared" si="1"/>
        <v>9914429</v>
      </c>
      <c r="J22" s="281">
        <v>10574827</v>
      </c>
      <c r="K22" s="281">
        <f t="shared" si="2"/>
        <v>20489256</v>
      </c>
      <c r="L22" s="850" t="s">
        <v>22</v>
      </c>
    </row>
    <row r="23" spans="1:12" s="325" customFormat="1" ht="19.5" customHeight="1" thickBot="1" x14ac:dyDescent="0.25">
      <c r="A23" s="594" t="s">
        <v>0</v>
      </c>
      <c r="B23" s="614">
        <f t="shared" ref="B23:K23" si="3">SUM(B8:B22)</f>
        <v>24126</v>
      </c>
      <c r="C23" s="614">
        <f t="shared" si="3"/>
        <v>95728586</v>
      </c>
      <c r="D23" s="614">
        <f t="shared" si="3"/>
        <v>1965</v>
      </c>
      <c r="E23" s="614">
        <f t="shared" si="3"/>
        <v>20884757</v>
      </c>
      <c r="F23" s="614">
        <f t="shared" si="3"/>
        <v>3264</v>
      </c>
      <c r="G23" s="614">
        <f t="shared" si="3"/>
        <v>72875960</v>
      </c>
      <c r="H23" s="614">
        <f t="shared" si="3"/>
        <v>29355</v>
      </c>
      <c r="I23" s="614">
        <f t="shared" si="3"/>
        <v>189489303</v>
      </c>
      <c r="J23" s="389">
        <f t="shared" si="3"/>
        <v>355815091</v>
      </c>
      <c r="K23" s="389">
        <f t="shared" si="3"/>
        <v>545304394</v>
      </c>
      <c r="L23" s="593" t="s">
        <v>1</v>
      </c>
    </row>
    <row r="24" spans="1:12" x14ac:dyDescent="0.2">
      <c r="A24" s="7"/>
      <c r="B24" s="277"/>
      <c r="E24" s="5"/>
      <c r="I24" s="7"/>
      <c r="J24" s="258"/>
      <c r="K24" s="7"/>
      <c r="L24" s="7"/>
    </row>
    <row r="25" spans="1:12" x14ac:dyDescent="0.2">
      <c r="A25" s="7"/>
      <c r="B25" s="5"/>
      <c r="D25" s="6"/>
      <c r="E25" s="5"/>
    </row>
    <row r="26" spans="1:12" x14ac:dyDescent="0.2">
      <c r="B26" s="5"/>
      <c r="C26" s="192"/>
      <c r="D26" s="6"/>
      <c r="E26" s="278"/>
      <c r="F26" s="202"/>
      <c r="G26" s="202"/>
      <c r="H26" s="202"/>
    </row>
    <row r="27" spans="1:12" x14ac:dyDescent="0.2">
      <c r="B27" s="5"/>
      <c r="C27" s="192"/>
      <c r="D27" s="6"/>
      <c r="E27" s="277"/>
      <c r="F27" s="7"/>
      <c r="G27" s="7"/>
      <c r="H27" s="7"/>
    </row>
    <row r="28" spans="1:12" x14ac:dyDescent="0.2">
      <c r="B28" s="5"/>
      <c r="C28" s="192"/>
      <c r="D28" s="6"/>
      <c r="E28" s="5"/>
    </row>
    <row r="29" spans="1:12" x14ac:dyDescent="0.2">
      <c r="B29" s="5"/>
      <c r="C29" s="192"/>
      <c r="D29" s="6"/>
      <c r="E29" s="5"/>
    </row>
    <row r="30" spans="1:12" x14ac:dyDescent="0.2">
      <c r="B30" s="5"/>
      <c r="C30" s="192"/>
      <c r="D30" s="6"/>
      <c r="E30" s="5"/>
    </row>
    <row r="31" spans="1:12" x14ac:dyDescent="0.2">
      <c r="B31" s="5"/>
      <c r="C31" s="192"/>
      <c r="D31" s="6"/>
      <c r="E31" s="5"/>
    </row>
    <row r="32" spans="1:12" x14ac:dyDescent="0.2">
      <c r="B32" s="5"/>
      <c r="C32" s="192"/>
      <c r="D32" s="6"/>
      <c r="E32" s="5"/>
    </row>
    <row r="33" spans="2:5" x14ac:dyDescent="0.2">
      <c r="B33" s="5"/>
      <c r="C33" s="192"/>
      <c r="D33" s="6"/>
      <c r="E33" s="5"/>
    </row>
    <row r="34" spans="2:5" x14ac:dyDescent="0.2">
      <c r="B34" s="5"/>
      <c r="C34" s="192"/>
      <c r="D34" s="6"/>
      <c r="E34" s="5"/>
    </row>
    <row r="35" spans="2:5" x14ac:dyDescent="0.2">
      <c r="B35" s="5"/>
      <c r="C35" s="192"/>
      <c r="D35" s="6"/>
      <c r="E35" s="5"/>
    </row>
    <row r="36" spans="2:5" x14ac:dyDescent="0.2">
      <c r="B36" s="5"/>
      <c r="C36" s="192"/>
      <c r="D36" s="6"/>
      <c r="E36" s="5"/>
    </row>
    <row r="37" spans="2:5" x14ac:dyDescent="0.2">
      <c r="B37" s="5"/>
      <c r="C37" s="192"/>
      <c r="D37" s="6"/>
      <c r="E37" s="5"/>
    </row>
  </sheetData>
  <mergeCells count="10">
    <mergeCell ref="A1:K1"/>
    <mergeCell ref="A2:K2"/>
    <mergeCell ref="D5:E5"/>
    <mergeCell ref="F5:G5"/>
    <mergeCell ref="B5:C5"/>
    <mergeCell ref="A3:B3"/>
    <mergeCell ref="B4:C4"/>
    <mergeCell ref="D4:E4"/>
    <mergeCell ref="F4:G4"/>
    <mergeCell ref="J4:K4"/>
  </mergeCells>
  <phoneticPr fontId="3" type="noConversion"/>
  <printOptions horizontalCentered="1" verticalCentered="1"/>
  <pageMargins left="0.24" right="0.47" top="1.39" bottom="0.98425196850393704" header="0.78740157480314965" footer="0.51181102362204722"/>
  <pageSetup scale="98" orientation="landscape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4:F49"/>
  <sheetViews>
    <sheetView rightToLeft="1" zoomScaleNormal="100" zoomScaleSheetLayoutView="100" workbookViewId="0">
      <selection activeCell="Q22" sqref="Q22"/>
    </sheetView>
  </sheetViews>
  <sheetFormatPr defaultRowHeight="12.75" x14ac:dyDescent="0.2"/>
  <cols>
    <col min="5" max="5" width="8.85546875" customWidth="1"/>
    <col min="6" max="6" width="8.140625" customWidth="1"/>
    <col min="13" max="13" width="9.85546875" customWidth="1"/>
  </cols>
  <sheetData>
    <row r="34" spans="5:6" x14ac:dyDescent="0.2">
      <c r="E34" s="897"/>
      <c r="F34" s="897"/>
    </row>
    <row r="39" spans="5:6" ht="17.25" customHeight="1" x14ac:dyDescent="0.2"/>
    <row r="45" spans="5:6" ht="18.75" customHeight="1" x14ac:dyDescent="0.2"/>
    <row r="46" spans="5:6" ht="18" customHeight="1" x14ac:dyDescent="0.2"/>
    <row r="49" ht="27.75" customHeight="1" x14ac:dyDescent="0.2"/>
  </sheetData>
  <mergeCells count="1">
    <mergeCell ref="E34:F34"/>
  </mergeCells>
  <phoneticPr fontId="3" type="noConversion"/>
  <pageMargins left="0.93" right="0.69" top="1.21" bottom="0.79541666666666666" header="1.9" footer="0.84"/>
  <pageSetup scale="92" orientation="landscape" horizontalDpi="4294967293" verticalDpi="1200" r:id="rId1"/>
  <headerFooter alignWithMargins="0">
    <oddFooter>&amp;C24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27"/>
  <sheetViews>
    <sheetView rightToLeft="1" zoomScaleSheetLayoutView="106" workbookViewId="0">
      <pane xSplit="21015" topLeftCell="QTE1"/>
      <selection activeCell="A4" sqref="A4:B4"/>
      <selection pane="topRight" activeCell="QTE1" sqref="QTE1"/>
    </sheetView>
  </sheetViews>
  <sheetFormatPr defaultRowHeight="12.75" x14ac:dyDescent="0.2"/>
  <cols>
    <col min="1" max="1" width="8.42578125" style="6" customWidth="1"/>
    <col min="2" max="2" width="10.42578125" style="6" customWidth="1"/>
    <col min="3" max="3" width="11.42578125" style="6" customWidth="1"/>
    <col min="4" max="4" width="10" style="6" customWidth="1"/>
    <col min="5" max="5" width="12.28515625" style="6" customWidth="1"/>
    <col min="6" max="6" width="11.85546875" style="6" customWidth="1"/>
    <col min="7" max="7" width="13.42578125" style="6" customWidth="1"/>
    <col min="8" max="8" width="11.42578125" style="6" customWidth="1"/>
    <col min="9" max="9" width="10.42578125" style="6" customWidth="1"/>
    <col min="10" max="10" width="11" style="6" customWidth="1"/>
    <col min="11" max="11" width="11.85546875" style="6" customWidth="1"/>
    <col min="12" max="12" width="15.85546875" style="6" customWidth="1"/>
  </cols>
  <sheetData>
    <row r="1" spans="1:14" ht="15" customHeight="1" x14ac:dyDescent="0.2">
      <c r="A1" s="947" t="s">
        <v>461</v>
      </c>
      <c r="B1" s="947"/>
      <c r="C1" s="947"/>
      <c r="D1" s="947"/>
      <c r="E1" s="947"/>
      <c r="F1" s="947"/>
      <c r="G1" s="878"/>
      <c r="H1" s="878"/>
      <c r="I1" s="251"/>
      <c r="J1" s="251"/>
      <c r="K1" s="251"/>
      <c r="L1" s="251"/>
      <c r="N1" s="6"/>
    </row>
    <row r="2" spans="1:14" ht="15" customHeight="1" x14ac:dyDescent="0.2">
      <c r="A2" s="951" t="s">
        <v>462</v>
      </c>
      <c r="B2" s="951"/>
      <c r="C2" s="951"/>
      <c r="D2" s="951"/>
      <c r="E2" s="951"/>
      <c r="F2" s="951"/>
      <c r="G2" s="951"/>
      <c r="H2" s="951"/>
      <c r="I2" s="808"/>
      <c r="J2" s="808"/>
      <c r="K2" s="808"/>
      <c r="L2" s="159" t="s">
        <v>482</v>
      </c>
      <c r="N2" s="6"/>
    </row>
    <row r="3" spans="1:14" s="6" customFormat="1" ht="15" x14ac:dyDescent="0.25">
      <c r="A3" s="808"/>
      <c r="B3" s="808"/>
      <c r="C3" s="808"/>
      <c r="D3" s="808"/>
      <c r="E3" s="808"/>
      <c r="F3" s="808"/>
      <c r="G3" s="808"/>
      <c r="H3" s="808"/>
      <c r="I3" s="808"/>
      <c r="J3" s="252"/>
      <c r="L3" s="253" t="s">
        <v>478</v>
      </c>
    </row>
    <row r="4" spans="1:14" ht="15.75" customHeight="1" thickBot="1" x14ac:dyDescent="0.3">
      <c r="A4" s="919" t="s">
        <v>501</v>
      </c>
      <c r="B4" s="919"/>
      <c r="C4" s="259" t="s">
        <v>176</v>
      </c>
      <c r="D4" s="259"/>
      <c r="E4" s="18"/>
      <c r="F4" s="18"/>
      <c r="G4" s="18"/>
      <c r="H4" s="18"/>
      <c r="I4" s="18"/>
      <c r="J4" s="18"/>
      <c r="K4" s="39" t="s">
        <v>113</v>
      </c>
      <c r="L4" s="58" t="s">
        <v>190</v>
      </c>
      <c r="N4" s="6"/>
    </row>
    <row r="5" spans="1:14" ht="15" customHeight="1" x14ac:dyDescent="0.25">
      <c r="A5" s="38"/>
      <c r="B5" s="254" t="s">
        <v>206</v>
      </c>
      <c r="C5" s="254"/>
      <c r="D5" s="254" t="s">
        <v>207</v>
      </c>
      <c r="E5" s="254"/>
      <c r="F5" s="254" t="s">
        <v>208</v>
      </c>
      <c r="G5" s="254"/>
      <c r="H5" s="254" t="s">
        <v>378</v>
      </c>
      <c r="I5" s="254"/>
      <c r="J5" s="949" t="s">
        <v>338</v>
      </c>
      <c r="K5" s="949"/>
      <c r="L5" s="38"/>
      <c r="N5" s="6"/>
    </row>
    <row r="6" spans="1:14" s="6" customFormat="1" ht="33" customHeight="1" x14ac:dyDescent="0.25">
      <c r="A6" s="42"/>
      <c r="B6" s="15" t="s">
        <v>164</v>
      </c>
      <c r="C6" s="33"/>
      <c r="D6" s="255" t="s">
        <v>240</v>
      </c>
      <c r="E6" s="33"/>
      <c r="F6" s="33" t="s">
        <v>239</v>
      </c>
      <c r="G6" s="33"/>
      <c r="H6" s="33" t="s">
        <v>266</v>
      </c>
      <c r="I6" s="255"/>
      <c r="J6" s="950" t="s">
        <v>1</v>
      </c>
      <c r="K6" s="950"/>
      <c r="L6" s="42"/>
    </row>
    <row r="7" spans="1:14" s="151" customFormat="1" ht="15" customHeight="1" x14ac:dyDescent="0.2">
      <c r="A7" s="849"/>
      <c r="B7" s="53" t="s">
        <v>65</v>
      </c>
      <c r="C7" s="53" t="s">
        <v>224</v>
      </c>
      <c r="D7" s="53" t="s">
        <v>65</v>
      </c>
      <c r="E7" s="53" t="s">
        <v>224</v>
      </c>
      <c r="F7" s="53" t="s">
        <v>27</v>
      </c>
      <c r="G7" s="53" t="s">
        <v>224</v>
      </c>
      <c r="H7" s="53" t="s">
        <v>27</v>
      </c>
      <c r="I7" s="53" t="s">
        <v>224</v>
      </c>
      <c r="J7" s="53" t="s">
        <v>65</v>
      </c>
      <c r="K7" s="53" t="s">
        <v>224</v>
      </c>
      <c r="L7" s="849"/>
    </row>
    <row r="8" spans="1:14" s="325" customFormat="1" ht="15" customHeight="1" thickBot="1" x14ac:dyDescent="0.25">
      <c r="A8" s="343" t="s">
        <v>58</v>
      </c>
      <c r="B8" s="851" t="s">
        <v>129</v>
      </c>
      <c r="C8" s="851" t="s">
        <v>29</v>
      </c>
      <c r="D8" s="851" t="s">
        <v>129</v>
      </c>
      <c r="E8" s="851" t="s">
        <v>29</v>
      </c>
      <c r="F8" s="851" t="s">
        <v>129</v>
      </c>
      <c r="G8" s="851" t="s">
        <v>29</v>
      </c>
      <c r="H8" s="851" t="s">
        <v>129</v>
      </c>
      <c r="I8" s="851" t="s">
        <v>29</v>
      </c>
      <c r="J8" s="851" t="s">
        <v>129</v>
      </c>
      <c r="K8" s="851" t="s">
        <v>29</v>
      </c>
      <c r="L8" s="852" t="s">
        <v>26</v>
      </c>
    </row>
    <row r="9" spans="1:14" s="395" customFormat="1" ht="15" customHeight="1" x14ac:dyDescent="0.25">
      <c r="A9" s="514" t="s">
        <v>356</v>
      </c>
      <c r="B9" s="76">
        <v>1000</v>
      </c>
      <c r="C9" s="79">
        <f>362*1000</f>
        <v>362000</v>
      </c>
      <c r="D9" s="170">
        <v>0</v>
      </c>
      <c r="E9" s="170">
        <v>0</v>
      </c>
      <c r="F9" s="170">
        <v>1020</v>
      </c>
      <c r="G9" s="170">
        <f>F9*350</f>
        <v>357000</v>
      </c>
      <c r="H9" s="79">
        <v>0</v>
      </c>
      <c r="I9" s="76">
        <v>0</v>
      </c>
      <c r="J9" s="892">
        <f>B9+D9+F9+H9</f>
        <v>2020</v>
      </c>
      <c r="K9" s="79">
        <f>C9+E9+G9+I9</f>
        <v>719000</v>
      </c>
      <c r="L9" s="493" t="s">
        <v>357</v>
      </c>
    </row>
    <row r="10" spans="1:14" s="289" customFormat="1" ht="21.75" customHeight="1" x14ac:dyDescent="0.25">
      <c r="A10" s="670" t="s">
        <v>30</v>
      </c>
      <c r="B10" s="673">
        <v>8581</v>
      </c>
      <c r="C10" s="482">
        <v>1999282</v>
      </c>
      <c r="D10" s="478">
        <v>0</v>
      </c>
      <c r="E10" s="478">
        <v>0</v>
      </c>
      <c r="F10" s="478">
        <v>0</v>
      </c>
      <c r="G10" s="478">
        <v>0</v>
      </c>
      <c r="H10" s="482">
        <v>0</v>
      </c>
      <c r="I10" s="153">
        <v>0</v>
      </c>
      <c r="J10" s="893">
        <f t="shared" ref="J10:J23" si="0">B10+D10+F10+H10</f>
        <v>8581</v>
      </c>
      <c r="K10" s="482">
        <f t="shared" ref="K10:K23" si="1">C10+E10+G10+I10</f>
        <v>1999282</v>
      </c>
      <c r="L10" s="397" t="s">
        <v>31</v>
      </c>
    </row>
    <row r="11" spans="1:14" s="289" customFormat="1" ht="15" customHeight="1" x14ac:dyDescent="0.25">
      <c r="A11" s="514" t="s">
        <v>3</v>
      </c>
      <c r="B11" s="579">
        <v>21876</v>
      </c>
      <c r="C11" s="79">
        <v>2384527</v>
      </c>
      <c r="D11" s="170">
        <v>0</v>
      </c>
      <c r="E11" s="170">
        <v>0</v>
      </c>
      <c r="F11" s="170">
        <v>4379</v>
      </c>
      <c r="G11" s="170">
        <v>1303940</v>
      </c>
      <c r="H11" s="79">
        <v>0</v>
      </c>
      <c r="I11" s="76">
        <v>0</v>
      </c>
      <c r="J11" s="894">
        <f t="shared" si="0"/>
        <v>26255</v>
      </c>
      <c r="K11" s="79">
        <f t="shared" si="1"/>
        <v>3688467</v>
      </c>
      <c r="L11" s="9" t="s">
        <v>15</v>
      </c>
    </row>
    <row r="12" spans="1:14" s="289" customFormat="1" ht="15" customHeight="1" x14ac:dyDescent="0.25">
      <c r="A12" s="670" t="s">
        <v>336</v>
      </c>
      <c r="B12" s="673">
        <v>7515</v>
      </c>
      <c r="C12" s="482">
        <f>B12*143</f>
        <v>1074645</v>
      </c>
      <c r="D12" s="478">
        <v>0</v>
      </c>
      <c r="E12" s="478">
        <v>0</v>
      </c>
      <c r="F12" s="478">
        <v>1489</v>
      </c>
      <c r="G12" s="478">
        <f>F12*184</f>
        <v>273976</v>
      </c>
      <c r="H12" s="482">
        <v>0</v>
      </c>
      <c r="I12" s="153">
        <v>0</v>
      </c>
      <c r="J12" s="893">
        <f t="shared" si="0"/>
        <v>9004</v>
      </c>
      <c r="K12" s="482">
        <f>C12+E12+G12+J12</f>
        <v>1357625</v>
      </c>
      <c r="L12" s="671" t="s">
        <v>337</v>
      </c>
    </row>
    <row r="13" spans="1:14" s="289" customFormat="1" ht="18" customHeight="1" x14ac:dyDescent="0.25">
      <c r="A13" s="514" t="s">
        <v>4</v>
      </c>
      <c r="B13" s="579">
        <v>176156</v>
      </c>
      <c r="C13" s="79">
        <v>18848747</v>
      </c>
      <c r="D13" s="170">
        <v>0</v>
      </c>
      <c r="E13" s="170">
        <v>0</v>
      </c>
      <c r="F13" s="170">
        <v>60590</v>
      </c>
      <c r="G13" s="170">
        <v>2426401</v>
      </c>
      <c r="H13" s="79">
        <v>17711</v>
      </c>
      <c r="I13" s="76">
        <v>97615</v>
      </c>
      <c r="J13" s="894">
        <f t="shared" si="0"/>
        <v>254457</v>
      </c>
      <c r="K13" s="79">
        <f t="shared" si="1"/>
        <v>21372763</v>
      </c>
      <c r="L13" s="9" t="s">
        <v>16</v>
      </c>
    </row>
    <row r="14" spans="1:14" s="289" customFormat="1" ht="18.75" customHeight="1" x14ac:dyDescent="0.25">
      <c r="A14" s="670" t="s">
        <v>5</v>
      </c>
      <c r="B14" s="673">
        <v>24372</v>
      </c>
      <c r="C14" s="482">
        <v>2656582</v>
      </c>
      <c r="D14" s="478">
        <v>0</v>
      </c>
      <c r="E14" s="478">
        <v>0</v>
      </c>
      <c r="F14" s="478">
        <v>9548</v>
      </c>
      <c r="G14" s="478">
        <v>1424416</v>
      </c>
      <c r="H14" s="482">
        <v>0</v>
      </c>
      <c r="I14" s="153">
        <v>0</v>
      </c>
      <c r="J14" s="893">
        <f t="shared" si="0"/>
        <v>33920</v>
      </c>
      <c r="K14" s="482">
        <f t="shared" si="1"/>
        <v>4080998</v>
      </c>
      <c r="L14" s="671" t="s">
        <v>23</v>
      </c>
    </row>
    <row r="15" spans="1:14" s="289" customFormat="1" ht="20.25" customHeight="1" x14ac:dyDescent="0.25">
      <c r="A15" s="514" t="s">
        <v>6</v>
      </c>
      <c r="B15" s="579">
        <v>17242</v>
      </c>
      <c r="C15" s="79">
        <v>2207048</v>
      </c>
      <c r="D15" s="170">
        <v>0</v>
      </c>
      <c r="E15" s="170">
        <v>0</v>
      </c>
      <c r="F15" s="170">
        <v>200</v>
      </c>
      <c r="G15" s="170">
        <v>1061991</v>
      </c>
      <c r="H15" s="79">
        <v>0</v>
      </c>
      <c r="I15" s="76">
        <v>0</v>
      </c>
      <c r="J15" s="894">
        <f t="shared" si="0"/>
        <v>17442</v>
      </c>
      <c r="K15" s="79">
        <f t="shared" si="1"/>
        <v>3269039</v>
      </c>
      <c r="L15" s="9" t="s">
        <v>24</v>
      </c>
    </row>
    <row r="16" spans="1:14" s="289" customFormat="1" ht="18.75" customHeight="1" x14ac:dyDescent="0.25">
      <c r="A16" s="670" t="s">
        <v>11</v>
      </c>
      <c r="B16" s="673">
        <v>12030</v>
      </c>
      <c r="C16" s="482">
        <v>1106732</v>
      </c>
      <c r="D16" s="478">
        <v>0</v>
      </c>
      <c r="E16" s="478">
        <v>0</v>
      </c>
      <c r="F16" s="478">
        <v>2453</v>
      </c>
      <c r="G16" s="478">
        <f>F16*117</f>
        <v>287001</v>
      </c>
      <c r="H16" s="482">
        <v>0</v>
      </c>
      <c r="I16" s="153">
        <v>0</v>
      </c>
      <c r="J16" s="893">
        <f t="shared" si="0"/>
        <v>14483</v>
      </c>
      <c r="K16" s="482">
        <f t="shared" si="1"/>
        <v>1393733</v>
      </c>
      <c r="L16" s="671" t="s">
        <v>21</v>
      </c>
    </row>
    <row r="17" spans="1:16" s="289" customFormat="1" ht="21" customHeight="1" x14ac:dyDescent="0.25">
      <c r="A17" s="514" t="s">
        <v>2</v>
      </c>
      <c r="B17" s="579">
        <v>7320</v>
      </c>
      <c r="C17" s="79">
        <v>1647078</v>
      </c>
      <c r="D17" s="170">
        <v>5412</v>
      </c>
      <c r="E17" s="170">
        <v>1217655</v>
      </c>
      <c r="F17" s="170">
        <v>5412</v>
      </c>
      <c r="G17" s="170">
        <v>1697005</v>
      </c>
      <c r="H17" s="79">
        <v>0</v>
      </c>
      <c r="I17" s="76">
        <v>0</v>
      </c>
      <c r="J17" s="894">
        <f t="shared" si="0"/>
        <v>18144</v>
      </c>
      <c r="K17" s="79">
        <f t="shared" si="1"/>
        <v>4561738</v>
      </c>
      <c r="L17" s="9" t="s">
        <v>14</v>
      </c>
    </row>
    <row r="18" spans="1:16" s="289" customFormat="1" ht="20.25" customHeight="1" x14ac:dyDescent="0.25">
      <c r="A18" s="670" t="s">
        <v>7</v>
      </c>
      <c r="B18" s="673">
        <v>28996</v>
      </c>
      <c r="C18" s="482">
        <v>3827497</v>
      </c>
      <c r="D18" s="478">
        <v>0</v>
      </c>
      <c r="E18" s="478">
        <v>0</v>
      </c>
      <c r="F18" s="478">
        <v>0</v>
      </c>
      <c r="G18" s="478">
        <v>0</v>
      </c>
      <c r="H18" s="482">
        <v>0</v>
      </c>
      <c r="I18" s="153">
        <v>0</v>
      </c>
      <c r="J18" s="893">
        <f t="shared" si="0"/>
        <v>28996</v>
      </c>
      <c r="K18" s="482">
        <f t="shared" si="1"/>
        <v>3827497</v>
      </c>
      <c r="L18" s="671" t="s">
        <v>17</v>
      </c>
    </row>
    <row r="19" spans="1:16" s="289" customFormat="1" ht="21" customHeight="1" x14ac:dyDescent="0.25">
      <c r="A19" s="514" t="s">
        <v>8</v>
      </c>
      <c r="B19" s="579">
        <v>27645</v>
      </c>
      <c r="C19" s="79">
        <v>2875092</v>
      </c>
      <c r="D19" s="170">
        <v>0</v>
      </c>
      <c r="E19" s="170">
        <v>0</v>
      </c>
      <c r="F19" s="170">
        <v>0</v>
      </c>
      <c r="G19" s="170">
        <v>0</v>
      </c>
      <c r="H19" s="79">
        <v>0</v>
      </c>
      <c r="I19" s="76">
        <v>0</v>
      </c>
      <c r="J19" s="894">
        <f t="shared" si="0"/>
        <v>27645</v>
      </c>
      <c r="K19" s="79">
        <f t="shared" si="1"/>
        <v>2875092</v>
      </c>
      <c r="L19" s="9" t="s">
        <v>18</v>
      </c>
    </row>
    <row r="20" spans="1:16" s="289" customFormat="1" ht="21.75" customHeight="1" x14ac:dyDescent="0.25">
      <c r="A20" s="670" t="s">
        <v>9</v>
      </c>
      <c r="B20" s="673">
        <v>15711</v>
      </c>
      <c r="C20" s="482">
        <v>1414003</v>
      </c>
      <c r="D20" s="478">
        <v>43</v>
      </c>
      <c r="E20" s="478">
        <f>D20*225</f>
        <v>9675</v>
      </c>
      <c r="F20" s="478">
        <v>43</v>
      </c>
      <c r="G20" s="478">
        <f>F20*195</f>
        <v>8385</v>
      </c>
      <c r="H20" s="482">
        <v>0</v>
      </c>
      <c r="I20" s="153">
        <v>0</v>
      </c>
      <c r="J20" s="893">
        <f t="shared" si="0"/>
        <v>15797</v>
      </c>
      <c r="K20" s="482">
        <f t="shared" si="1"/>
        <v>1432063</v>
      </c>
      <c r="L20" s="671" t="s">
        <v>19</v>
      </c>
    </row>
    <row r="21" spans="1:16" s="289" customFormat="1" ht="18.75" customHeight="1" x14ac:dyDescent="0.25">
      <c r="A21" s="514" t="s">
        <v>10</v>
      </c>
      <c r="B21" s="579">
        <v>23114</v>
      </c>
      <c r="C21" s="79">
        <v>2380726</v>
      </c>
      <c r="D21" s="170">
        <v>6679</v>
      </c>
      <c r="E21" s="170">
        <f>D21*225</f>
        <v>1502775</v>
      </c>
      <c r="F21" s="170">
        <v>6679</v>
      </c>
      <c r="G21" s="170">
        <v>1482238</v>
      </c>
      <c r="H21" s="79">
        <v>0</v>
      </c>
      <c r="I21" s="76">
        <v>0</v>
      </c>
      <c r="J21" s="894">
        <f t="shared" si="0"/>
        <v>36472</v>
      </c>
      <c r="K21" s="79">
        <f t="shared" si="1"/>
        <v>5365739</v>
      </c>
      <c r="L21" s="9" t="s">
        <v>20</v>
      </c>
    </row>
    <row r="22" spans="1:16" s="289" customFormat="1" ht="18.75" customHeight="1" x14ac:dyDescent="0.25">
      <c r="A22" s="670" t="s">
        <v>12</v>
      </c>
      <c r="B22" s="673">
        <v>7768</v>
      </c>
      <c r="C22" s="482">
        <v>823434</v>
      </c>
      <c r="D22" s="478">
        <v>0</v>
      </c>
      <c r="E22" s="478">
        <v>0</v>
      </c>
      <c r="F22" s="478">
        <v>0</v>
      </c>
      <c r="G22" s="478">
        <v>0</v>
      </c>
      <c r="H22" s="482">
        <v>0</v>
      </c>
      <c r="I22" s="153">
        <v>0</v>
      </c>
      <c r="J22" s="893">
        <f t="shared" si="0"/>
        <v>7768</v>
      </c>
      <c r="K22" s="482">
        <f t="shared" si="1"/>
        <v>823434</v>
      </c>
      <c r="L22" s="671" t="s">
        <v>25</v>
      </c>
    </row>
    <row r="23" spans="1:16" s="289" customFormat="1" ht="15" customHeight="1" thickBot="1" x14ac:dyDescent="0.3">
      <c r="A23" s="514" t="s">
        <v>13</v>
      </c>
      <c r="B23" s="579">
        <v>18506</v>
      </c>
      <c r="C23" s="79">
        <v>3090427</v>
      </c>
      <c r="D23" s="170">
        <v>0</v>
      </c>
      <c r="E23" s="170">
        <v>0</v>
      </c>
      <c r="F23" s="170">
        <v>0</v>
      </c>
      <c r="G23" s="170">
        <v>0</v>
      </c>
      <c r="H23" s="79">
        <v>0</v>
      </c>
      <c r="I23" s="76">
        <v>0</v>
      </c>
      <c r="J23" s="894">
        <f t="shared" si="0"/>
        <v>18506</v>
      </c>
      <c r="K23" s="79">
        <f t="shared" si="1"/>
        <v>3090427</v>
      </c>
      <c r="L23" s="9" t="s">
        <v>22</v>
      </c>
    </row>
    <row r="24" spans="1:16" s="395" customFormat="1" ht="16.5" customHeight="1" thickTop="1" thickBot="1" x14ac:dyDescent="0.3">
      <c r="A24" s="674" t="s">
        <v>0</v>
      </c>
      <c r="B24" s="675">
        <f>SUM(B9:B23)</f>
        <v>397832</v>
      </c>
      <c r="C24" s="675">
        <f>SUM(C9:C23)</f>
        <v>46697820</v>
      </c>
      <c r="D24" s="676">
        <f>SUM(D9:D23)</f>
        <v>12134</v>
      </c>
      <c r="E24" s="676">
        <f>SUM(E9:E23)</f>
        <v>2730105</v>
      </c>
      <c r="F24" s="676">
        <v>91813</v>
      </c>
      <c r="G24" s="676">
        <f>SUM(G9:G23)</f>
        <v>10322353</v>
      </c>
      <c r="H24" s="675">
        <f>SUM(H9:H23)</f>
        <v>17711</v>
      </c>
      <c r="I24" s="677">
        <f>SUM(I9:I23)</f>
        <v>97615</v>
      </c>
      <c r="J24" s="676">
        <f>SUM(J9:J23)</f>
        <v>519490</v>
      </c>
      <c r="K24" s="676">
        <f>SUM(K9:K23)</f>
        <v>59856897</v>
      </c>
      <c r="L24" s="678" t="s">
        <v>1</v>
      </c>
    </row>
    <row r="25" spans="1:16" s="6" customFormat="1" ht="24" customHeight="1" thickTop="1" x14ac:dyDescent="0.2">
      <c r="A25" s="948"/>
      <c r="B25" s="948"/>
      <c r="C25" s="948"/>
      <c r="D25" s="948"/>
      <c r="E25" s="948"/>
      <c r="F25" s="948"/>
      <c r="G25" s="312"/>
      <c r="H25" s="312"/>
      <c r="I25" s="78"/>
      <c r="J25" s="78"/>
      <c r="K25" s="78"/>
      <c r="L25" s="256"/>
    </row>
    <row r="26" spans="1:16" ht="14.25" x14ac:dyDescent="0.2">
      <c r="C26" s="7"/>
      <c r="D26" s="7"/>
      <c r="E26" s="192"/>
      <c r="F26" s="7"/>
      <c r="G26" s="7"/>
      <c r="H26" s="7"/>
      <c r="L26" s="186"/>
    </row>
    <row r="27" spans="1:16" ht="18" customHeight="1" x14ac:dyDescent="0.25">
      <c r="A27" s="262"/>
      <c r="B27" s="262"/>
      <c r="J27" s="173"/>
      <c r="K27" s="72"/>
      <c r="L27" s="257"/>
      <c r="P27" s="5"/>
    </row>
  </sheetData>
  <mergeCells count="6">
    <mergeCell ref="A4:B4"/>
    <mergeCell ref="A1:F1"/>
    <mergeCell ref="A25:F25"/>
    <mergeCell ref="J5:K5"/>
    <mergeCell ref="J6:K6"/>
    <mergeCell ref="A2:H2"/>
  </mergeCells>
  <phoneticPr fontId="3" type="noConversion"/>
  <printOptions horizontalCentered="1" verticalCentered="1"/>
  <pageMargins left="0.28999999999999998" right="0.2" top="0.76" bottom="0.98425196850393704" header="0.92" footer="0.511811023622047"/>
  <pageSetup scale="98" orientation="landscape" verticalDpi="300" r:id="rId1"/>
  <headerFooter alignWithMargins="0">
    <oddFooter>&amp;C25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6"/>
  <sheetViews>
    <sheetView rightToLeft="1" zoomScale="93" zoomScaleNormal="93" zoomScaleSheetLayoutView="100" workbookViewId="0">
      <selection activeCell="H31" sqref="H31"/>
    </sheetView>
  </sheetViews>
  <sheetFormatPr defaultRowHeight="12.75" x14ac:dyDescent="0.2"/>
  <cols>
    <col min="1" max="1" width="10.85546875" customWidth="1"/>
    <col min="2" max="2" width="10.28515625" customWidth="1"/>
    <col min="3" max="3" width="14.5703125" customWidth="1"/>
    <col min="4" max="4" width="9.42578125" customWidth="1"/>
    <col min="5" max="5" width="17.140625" customWidth="1"/>
    <col min="7" max="7" width="12.7109375" customWidth="1"/>
    <col min="8" max="8" width="9" customWidth="1"/>
    <col min="9" max="9" width="13.42578125" customWidth="1"/>
    <col min="10" max="10" width="17" customWidth="1"/>
  </cols>
  <sheetData>
    <row r="1" spans="1:10" ht="15" x14ac:dyDescent="0.2">
      <c r="A1" s="903" t="s">
        <v>431</v>
      </c>
      <c r="B1" s="903"/>
      <c r="C1" s="903"/>
      <c r="D1" s="903"/>
      <c r="E1" s="903"/>
      <c r="F1" s="903"/>
      <c r="G1" s="903"/>
      <c r="H1" s="903"/>
      <c r="I1" s="903"/>
      <c r="J1" s="903"/>
    </row>
    <row r="2" spans="1:10" ht="13.5" customHeight="1" x14ac:dyDescent="0.2">
      <c r="A2" s="953" t="s">
        <v>432</v>
      </c>
      <c r="B2" s="953"/>
      <c r="C2" s="953"/>
      <c r="D2" s="953"/>
      <c r="E2" s="953"/>
      <c r="F2" s="953"/>
      <c r="G2" s="953"/>
      <c r="H2" s="953"/>
      <c r="I2" s="953"/>
      <c r="J2" s="220" t="s">
        <v>483</v>
      </c>
    </row>
    <row r="3" spans="1:10" ht="15.75" customHeight="1" x14ac:dyDescent="0.25">
      <c r="A3" s="39"/>
      <c r="B3" s="39"/>
      <c r="C3" s="39"/>
      <c r="D3" s="39"/>
      <c r="E3" s="39"/>
      <c r="F3" s="39"/>
      <c r="G3" s="39"/>
      <c r="H3" s="39"/>
      <c r="J3" s="219" t="s">
        <v>477</v>
      </c>
    </row>
    <row r="4" spans="1:10" ht="15" customHeight="1" thickBot="1" x14ac:dyDescent="0.3">
      <c r="A4" s="912" t="s">
        <v>484</v>
      </c>
      <c r="B4" s="912"/>
      <c r="C4" s="32" t="s">
        <v>175</v>
      </c>
      <c r="D4" s="23"/>
      <c r="E4" s="23"/>
      <c r="F4" s="18"/>
      <c r="G4" s="909" t="s">
        <v>312</v>
      </c>
      <c r="H4" s="909"/>
      <c r="I4" s="909" t="s">
        <v>313</v>
      </c>
      <c r="J4" s="909"/>
    </row>
    <row r="5" spans="1:10" ht="15" customHeight="1" x14ac:dyDescent="0.25">
      <c r="A5" s="313"/>
      <c r="B5" s="904" t="s">
        <v>209</v>
      </c>
      <c r="C5" s="904"/>
      <c r="D5" s="904" t="s">
        <v>210</v>
      </c>
      <c r="E5" s="904"/>
      <c r="F5" s="904" t="s">
        <v>211</v>
      </c>
      <c r="G5" s="904"/>
      <c r="H5" s="904" t="s">
        <v>213</v>
      </c>
      <c r="I5" s="904"/>
      <c r="J5" s="37"/>
    </row>
    <row r="6" spans="1:10" s="151" customFormat="1" ht="15" customHeight="1" x14ac:dyDescent="0.25">
      <c r="A6" s="330"/>
      <c r="B6" s="952" t="s">
        <v>296</v>
      </c>
      <c r="C6" s="952"/>
      <c r="D6" s="952" t="s">
        <v>221</v>
      </c>
      <c r="E6" s="952"/>
      <c r="F6" s="952" t="s">
        <v>212</v>
      </c>
      <c r="G6" s="952"/>
      <c r="H6" s="320" t="s">
        <v>214</v>
      </c>
      <c r="I6" s="320"/>
      <c r="J6" s="320"/>
    </row>
    <row r="7" spans="1:10" s="151" customFormat="1" ht="15" customHeight="1" thickBot="1" x14ac:dyDescent="0.3">
      <c r="A7" s="314"/>
      <c r="B7" s="310" t="s">
        <v>65</v>
      </c>
      <c r="C7" s="310" t="s">
        <v>224</v>
      </c>
      <c r="D7" s="310" t="s">
        <v>65</v>
      </c>
      <c r="E7" s="310" t="s">
        <v>224</v>
      </c>
      <c r="F7" s="310" t="s">
        <v>65</v>
      </c>
      <c r="G7" s="310" t="s">
        <v>224</v>
      </c>
      <c r="H7" s="310" t="s">
        <v>65</v>
      </c>
      <c r="I7" s="310" t="s">
        <v>224</v>
      </c>
      <c r="J7" s="68"/>
    </row>
    <row r="8" spans="1:10" s="325" customFormat="1" ht="15" customHeight="1" thickBot="1" x14ac:dyDescent="0.25">
      <c r="A8" s="750" t="s">
        <v>50</v>
      </c>
      <c r="B8" s="552" t="s">
        <v>129</v>
      </c>
      <c r="C8" s="552" t="s">
        <v>29</v>
      </c>
      <c r="D8" s="552" t="s">
        <v>129</v>
      </c>
      <c r="E8" s="552" t="s">
        <v>29</v>
      </c>
      <c r="F8" s="552" t="s">
        <v>129</v>
      </c>
      <c r="G8" s="552" t="s">
        <v>29</v>
      </c>
      <c r="H8" s="552" t="s">
        <v>129</v>
      </c>
      <c r="I8" s="552" t="s">
        <v>29</v>
      </c>
      <c r="J8" s="665" t="s">
        <v>26</v>
      </c>
    </row>
    <row r="9" spans="1:10" s="395" customFormat="1" ht="15.6" customHeight="1" x14ac:dyDescent="0.25">
      <c r="A9" s="514" t="s">
        <v>356</v>
      </c>
      <c r="B9" s="79">
        <v>43</v>
      </c>
      <c r="C9" s="76">
        <v>23670</v>
      </c>
      <c r="D9" s="79">
        <v>886</v>
      </c>
      <c r="E9" s="607">
        <v>418347</v>
      </c>
      <c r="F9" s="79">
        <v>116</v>
      </c>
      <c r="G9" s="76">
        <v>38532</v>
      </c>
      <c r="H9" s="79">
        <v>1045</v>
      </c>
      <c r="I9" s="76">
        <v>480549</v>
      </c>
      <c r="J9" s="493" t="s">
        <v>357</v>
      </c>
    </row>
    <row r="10" spans="1:10" s="289" customFormat="1" ht="15.6" customHeight="1" x14ac:dyDescent="0.25">
      <c r="A10" s="390" t="s">
        <v>30</v>
      </c>
      <c r="B10" s="391">
        <v>139</v>
      </c>
      <c r="C10" s="392">
        <v>63647</v>
      </c>
      <c r="D10" s="391">
        <v>1674</v>
      </c>
      <c r="E10" s="608">
        <v>641069</v>
      </c>
      <c r="F10" s="391">
        <v>1143</v>
      </c>
      <c r="G10" s="392">
        <v>382831</v>
      </c>
      <c r="H10" s="391">
        <v>2955</v>
      </c>
      <c r="I10" s="392">
        <v>1087548</v>
      </c>
      <c r="J10" s="397" t="s">
        <v>31</v>
      </c>
    </row>
    <row r="11" spans="1:10" s="289" customFormat="1" ht="15.6" customHeight="1" x14ac:dyDescent="0.25">
      <c r="A11" s="522" t="s">
        <v>3</v>
      </c>
      <c r="B11" s="79">
        <v>1233</v>
      </c>
      <c r="C11" s="76">
        <v>619945</v>
      </c>
      <c r="D11" s="79">
        <v>1246</v>
      </c>
      <c r="E11" s="607">
        <v>597978</v>
      </c>
      <c r="F11" s="79">
        <v>0</v>
      </c>
      <c r="G11" s="76">
        <v>0</v>
      </c>
      <c r="H11" s="79">
        <v>2478</v>
      </c>
      <c r="I11" s="76">
        <v>1217922</v>
      </c>
      <c r="J11" s="9" t="s">
        <v>15</v>
      </c>
    </row>
    <row r="12" spans="1:10" s="289" customFormat="1" ht="15.6" customHeight="1" x14ac:dyDescent="0.25">
      <c r="A12" s="390" t="s">
        <v>342</v>
      </c>
      <c r="B12" s="391">
        <v>389</v>
      </c>
      <c r="C12" s="392">
        <v>255501</v>
      </c>
      <c r="D12" s="391">
        <v>288</v>
      </c>
      <c r="E12" s="608">
        <v>173073</v>
      </c>
      <c r="F12" s="391">
        <v>0</v>
      </c>
      <c r="G12" s="392">
        <v>0</v>
      </c>
      <c r="H12" s="391">
        <v>677</v>
      </c>
      <c r="I12" s="392">
        <v>428575</v>
      </c>
      <c r="J12" s="393" t="s">
        <v>337</v>
      </c>
    </row>
    <row r="13" spans="1:10" s="289" customFormat="1" ht="15.6" customHeight="1" x14ac:dyDescent="0.25">
      <c r="A13" s="522" t="s">
        <v>4</v>
      </c>
      <c r="B13" s="79">
        <v>1311</v>
      </c>
      <c r="C13" s="76">
        <v>1035448</v>
      </c>
      <c r="D13" s="79">
        <v>2300</v>
      </c>
      <c r="E13" s="607">
        <v>1311293</v>
      </c>
      <c r="F13" s="79">
        <v>7</v>
      </c>
      <c r="G13" s="76">
        <v>3195</v>
      </c>
      <c r="H13" s="79">
        <v>3618</v>
      </c>
      <c r="I13" s="76">
        <v>2349935</v>
      </c>
      <c r="J13" s="493" t="s">
        <v>16</v>
      </c>
    </row>
    <row r="14" spans="1:10" s="289" customFormat="1" ht="15.6" customHeight="1" x14ac:dyDescent="0.25">
      <c r="A14" s="396" t="s">
        <v>5</v>
      </c>
      <c r="B14" s="391">
        <v>972</v>
      </c>
      <c r="C14" s="392">
        <v>767240</v>
      </c>
      <c r="D14" s="391">
        <v>443</v>
      </c>
      <c r="E14" s="608">
        <v>231051</v>
      </c>
      <c r="F14" s="391">
        <v>1135</v>
      </c>
      <c r="G14" s="392">
        <v>498384</v>
      </c>
      <c r="H14" s="391">
        <v>2550</v>
      </c>
      <c r="I14" s="392">
        <v>1496675</v>
      </c>
      <c r="J14" s="397" t="s">
        <v>23</v>
      </c>
    </row>
    <row r="15" spans="1:10" s="289" customFormat="1" ht="15.6" customHeight="1" x14ac:dyDescent="0.25">
      <c r="A15" s="522" t="s">
        <v>6</v>
      </c>
      <c r="B15" s="79">
        <v>954</v>
      </c>
      <c r="C15" s="76">
        <v>797303</v>
      </c>
      <c r="D15" s="79">
        <v>3310</v>
      </c>
      <c r="E15" s="607">
        <v>2098299</v>
      </c>
      <c r="F15" s="79">
        <v>24</v>
      </c>
      <c r="G15" s="76">
        <v>14430</v>
      </c>
      <c r="H15" s="79">
        <v>4287</v>
      </c>
      <c r="I15" s="76">
        <v>2910031</v>
      </c>
      <c r="J15" s="493" t="s">
        <v>24</v>
      </c>
    </row>
    <row r="16" spans="1:10" s="289" customFormat="1" ht="15" customHeight="1" x14ac:dyDescent="0.25">
      <c r="A16" s="396" t="s">
        <v>11</v>
      </c>
      <c r="B16" s="391">
        <v>194</v>
      </c>
      <c r="C16" s="392">
        <v>126868</v>
      </c>
      <c r="D16" s="391">
        <v>148</v>
      </c>
      <c r="E16" s="608">
        <v>77127</v>
      </c>
      <c r="F16" s="391">
        <v>14</v>
      </c>
      <c r="G16" s="392">
        <v>0</v>
      </c>
      <c r="H16" s="391">
        <v>356</v>
      </c>
      <c r="I16" s="392">
        <v>203995</v>
      </c>
      <c r="J16" s="397" t="s">
        <v>21</v>
      </c>
    </row>
    <row r="17" spans="1:10" s="289" customFormat="1" ht="18" customHeight="1" x14ac:dyDescent="0.25">
      <c r="A17" s="522" t="s">
        <v>2</v>
      </c>
      <c r="B17" s="79">
        <v>531</v>
      </c>
      <c r="C17" s="76">
        <v>297919</v>
      </c>
      <c r="D17" s="79">
        <v>650</v>
      </c>
      <c r="E17" s="607">
        <v>278754</v>
      </c>
      <c r="F17" s="79">
        <v>378</v>
      </c>
      <c r="G17" s="76">
        <v>148270</v>
      </c>
      <c r="H17" s="79">
        <v>1559</v>
      </c>
      <c r="I17" s="76">
        <v>724943</v>
      </c>
      <c r="J17" s="493" t="s">
        <v>14</v>
      </c>
    </row>
    <row r="18" spans="1:10" s="289" customFormat="1" ht="15.6" customHeight="1" x14ac:dyDescent="0.25">
      <c r="A18" s="396" t="s">
        <v>7</v>
      </c>
      <c r="B18" s="391">
        <v>3505</v>
      </c>
      <c r="C18" s="392">
        <v>2148348</v>
      </c>
      <c r="D18" s="391">
        <v>5654</v>
      </c>
      <c r="E18" s="608">
        <v>2544462</v>
      </c>
      <c r="F18" s="391">
        <v>0</v>
      </c>
      <c r="G18" s="392">
        <v>0</v>
      </c>
      <c r="H18" s="391">
        <v>9159</v>
      </c>
      <c r="I18" s="392">
        <v>4692810</v>
      </c>
      <c r="J18" s="397" t="s">
        <v>17</v>
      </c>
    </row>
    <row r="19" spans="1:10" s="289" customFormat="1" ht="15.6" customHeight="1" x14ac:dyDescent="0.25">
      <c r="A19" s="522" t="s">
        <v>8</v>
      </c>
      <c r="B19" s="79">
        <v>76</v>
      </c>
      <c r="C19" s="76">
        <v>47896</v>
      </c>
      <c r="D19" s="79">
        <v>153</v>
      </c>
      <c r="E19" s="607">
        <v>76267</v>
      </c>
      <c r="F19" s="79">
        <v>0</v>
      </c>
      <c r="G19" s="76">
        <v>0</v>
      </c>
      <c r="H19" s="79">
        <v>229</v>
      </c>
      <c r="I19" s="76">
        <v>124163</v>
      </c>
      <c r="J19" s="493" t="s">
        <v>18</v>
      </c>
    </row>
    <row r="20" spans="1:10" s="289" customFormat="1" ht="15.6" customHeight="1" x14ac:dyDescent="0.25">
      <c r="A20" s="396" t="s">
        <v>9</v>
      </c>
      <c r="B20" s="391">
        <v>67</v>
      </c>
      <c r="C20" s="392">
        <v>37665</v>
      </c>
      <c r="D20" s="391">
        <v>352</v>
      </c>
      <c r="E20" s="608">
        <v>164574</v>
      </c>
      <c r="F20" s="391">
        <v>405</v>
      </c>
      <c r="G20" s="392">
        <v>182138</v>
      </c>
      <c r="H20" s="391">
        <v>824</v>
      </c>
      <c r="I20" s="392">
        <v>384376</v>
      </c>
      <c r="J20" s="397" t="s">
        <v>19</v>
      </c>
    </row>
    <row r="21" spans="1:10" s="289" customFormat="1" ht="15.6" customHeight="1" x14ac:dyDescent="0.25">
      <c r="A21" s="522" t="s">
        <v>10</v>
      </c>
      <c r="B21" s="79">
        <v>2164</v>
      </c>
      <c r="C21" s="76">
        <v>1380921</v>
      </c>
      <c r="D21" s="79">
        <v>2172</v>
      </c>
      <c r="E21" s="607">
        <v>1209850</v>
      </c>
      <c r="F21" s="79">
        <v>267</v>
      </c>
      <c r="G21" s="76">
        <v>122096</v>
      </c>
      <c r="H21" s="79">
        <v>4604</v>
      </c>
      <c r="I21" s="76">
        <v>2712867</v>
      </c>
      <c r="J21" s="493" t="s">
        <v>20</v>
      </c>
    </row>
    <row r="22" spans="1:10" s="289" customFormat="1" ht="15.6" customHeight="1" x14ac:dyDescent="0.25">
      <c r="A22" s="396" t="s">
        <v>12</v>
      </c>
      <c r="B22" s="391">
        <v>0</v>
      </c>
      <c r="C22" s="392">
        <v>0</v>
      </c>
      <c r="D22" s="391">
        <v>1</v>
      </c>
      <c r="E22" s="608">
        <v>248</v>
      </c>
      <c r="F22" s="391">
        <v>260</v>
      </c>
      <c r="G22" s="392">
        <v>77933</v>
      </c>
      <c r="H22" s="391">
        <f>D22+F22</f>
        <v>261</v>
      </c>
      <c r="I22" s="392">
        <f>C22+E22+G22</f>
        <v>78181</v>
      </c>
      <c r="J22" s="397" t="s">
        <v>25</v>
      </c>
    </row>
    <row r="23" spans="1:10" s="289" customFormat="1" ht="15.6" customHeight="1" thickBot="1" x14ac:dyDescent="0.3">
      <c r="A23" s="522" t="s">
        <v>13</v>
      </c>
      <c r="B23" s="79">
        <v>743</v>
      </c>
      <c r="C23" s="76">
        <v>583865</v>
      </c>
      <c r="D23" s="79">
        <v>1342</v>
      </c>
      <c r="E23" s="607">
        <v>805273</v>
      </c>
      <c r="F23" s="79">
        <v>1658</v>
      </c>
      <c r="G23" s="76">
        <f>F23*419</f>
        <v>694702</v>
      </c>
      <c r="H23" s="79">
        <v>3743</v>
      </c>
      <c r="I23" s="76">
        <v>1389138</v>
      </c>
      <c r="J23" s="493" t="s">
        <v>22</v>
      </c>
    </row>
    <row r="24" spans="1:10" s="395" customFormat="1" ht="15" customHeight="1" thickBot="1" x14ac:dyDescent="0.3">
      <c r="A24" s="427" t="s">
        <v>0</v>
      </c>
      <c r="B24" s="428">
        <f t="shared" ref="B24:F24" si="0">SUM(B9:B23)</f>
        <v>12321</v>
      </c>
      <c r="C24" s="428">
        <f t="shared" si="0"/>
        <v>8186236</v>
      </c>
      <c r="D24" s="428">
        <f t="shared" si="0"/>
        <v>20619</v>
      </c>
      <c r="E24" s="609">
        <f t="shared" si="0"/>
        <v>10627665</v>
      </c>
      <c r="F24" s="428">
        <f t="shared" si="0"/>
        <v>5407</v>
      </c>
      <c r="G24" s="428">
        <f>SUM(G9:G23)</f>
        <v>2162511</v>
      </c>
      <c r="H24" s="428">
        <v>38347</v>
      </c>
      <c r="I24" s="429">
        <v>20281708</v>
      </c>
      <c r="J24" s="430" t="s">
        <v>1</v>
      </c>
    </row>
    <row r="25" spans="1:10" ht="15" x14ac:dyDescent="0.25">
      <c r="A25" s="948"/>
      <c r="B25" s="948"/>
      <c r="C25" s="948"/>
      <c r="D25" s="948"/>
      <c r="E25" s="948"/>
      <c r="F25" s="948"/>
      <c r="G25" s="948"/>
      <c r="H25" s="948"/>
      <c r="J25" s="57"/>
    </row>
    <row r="26" spans="1:10" ht="15" customHeight="1" x14ac:dyDescent="0.2">
      <c r="I26" s="73"/>
      <c r="J26" s="55"/>
    </row>
  </sheetData>
  <mergeCells count="13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</mergeCells>
  <phoneticPr fontId="3" type="noConversion"/>
  <printOptions horizontalCentered="1" verticalCentered="1"/>
  <pageMargins left="0.42" right="0.55000000000000004" top="0" bottom="0.98425196850393704" header="0.71" footer="0.511811023622047"/>
  <pageSetup orientation="landscape" verticalDpi="300" r:id="rId1"/>
  <headerFooter alignWithMargins="0">
    <oddFooter>&amp;C26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"/>
  <sheetViews>
    <sheetView rightToLeft="1" zoomScaleNormal="100" zoomScaleSheetLayoutView="100" workbookViewId="0">
      <selection activeCell="N2" sqref="N2"/>
    </sheetView>
  </sheetViews>
  <sheetFormatPr defaultRowHeight="12.75" x14ac:dyDescent="0.2"/>
  <cols>
    <col min="2" max="2" width="7.28515625" customWidth="1"/>
    <col min="4" max="4" width="8.140625" customWidth="1"/>
    <col min="7" max="7" width="7.7109375" customWidth="1"/>
    <col min="9" max="9" width="7.140625" customWidth="1"/>
    <col min="10" max="10" width="7.7109375" customWidth="1"/>
    <col min="12" max="12" width="7.7109375" customWidth="1"/>
    <col min="13" max="13" width="9.5703125" customWidth="1"/>
  </cols>
  <sheetData>
    <row r="2" spans="2:13" ht="18" x14ac:dyDescent="0.25">
      <c r="B2" s="954" t="s">
        <v>497</v>
      </c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</row>
    <row r="3" spans="2:13" ht="18" x14ac:dyDescent="0.25">
      <c r="B3" s="954" t="s">
        <v>498</v>
      </c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4"/>
    </row>
  </sheetData>
  <mergeCells count="2">
    <mergeCell ref="B3:M3"/>
    <mergeCell ref="B2:M2"/>
  </mergeCells>
  <phoneticPr fontId="3" type="noConversion"/>
  <pageMargins left="0.24" right="1.18" top="1.65" bottom="1" header="0.79" footer="0.5"/>
  <pageSetup scale="94" orientation="landscape" horizontalDpi="4294967293" verticalDpi="1200" r:id="rId1"/>
  <headerFooter alignWithMargins="0">
    <oddFooter>&amp;C27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26"/>
  <sheetViews>
    <sheetView rightToLeft="1" tabSelected="1" topLeftCell="B1" zoomScaleSheetLayoutView="100" workbookViewId="0">
      <selection activeCell="Q5" sqref="Q5"/>
    </sheetView>
  </sheetViews>
  <sheetFormatPr defaultRowHeight="12.75" x14ac:dyDescent="0.2"/>
  <cols>
    <col min="1" max="1" width="0.42578125" hidden="1" customWidth="1"/>
    <col min="2" max="2" width="13.140625" customWidth="1"/>
    <col min="3" max="3" width="7.28515625" customWidth="1"/>
    <col min="4" max="4" width="13.140625" customWidth="1"/>
    <col min="5" max="5" width="17.140625" customWidth="1"/>
    <col min="6" max="6" width="7" customWidth="1"/>
    <col min="7" max="7" width="9.5703125" customWidth="1"/>
    <col min="8" max="8" width="17.5703125" customWidth="1"/>
    <col min="9" max="9" width="7.28515625" customWidth="1"/>
    <col min="10" max="10" width="14.42578125" customWidth="1"/>
    <col min="11" max="11" width="14.5703125" customWidth="1"/>
    <col min="12" max="12" width="14.7109375" customWidth="1"/>
  </cols>
  <sheetData>
    <row r="1" spans="2:14" ht="43.5" customHeight="1" x14ac:dyDescent="0.2">
      <c r="B1" s="903" t="s">
        <v>499</v>
      </c>
      <c r="C1" s="903"/>
      <c r="D1" s="903"/>
      <c r="E1" s="903"/>
      <c r="F1" s="903"/>
      <c r="G1" s="903"/>
      <c r="H1" s="903"/>
      <c r="I1" s="903"/>
      <c r="J1" s="903"/>
      <c r="K1" s="903"/>
      <c r="L1" s="170" t="s">
        <v>301</v>
      </c>
    </row>
    <row r="2" spans="2:14" ht="15" customHeight="1" x14ac:dyDescent="0.25">
      <c r="B2" s="907" t="s">
        <v>419</v>
      </c>
      <c r="C2" s="907"/>
      <c r="D2" s="907"/>
      <c r="E2" s="907"/>
      <c r="F2" s="907"/>
      <c r="G2" s="907"/>
      <c r="H2" s="907"/>
      <c r="I2" s="907"/>
      <c r="J2" s="907"/>
      <c r="K2" s="907"/>
      <c r="L2" s="907"/>
    </row>
    <row r="3" spans="2:14" ht="15.75" customHeight="1" thickBot="1" x14ac:dyDescent="0.25">
      <c r="B3" s="168" t="s">
        <v>368</v>
      </c>
      <c r="C3" s="167"/>
      <c r="D3" s="167"/>
      <c r="E3" s="167"/>
      <c r="F3" s="167"/>
      <c r="G3" s="167"/>
      <c r="H3" s="167"/>
      <c r="I3" s="167"/>
      <c r="J3" s="167"/>
      <c r="L3" s="35" t="s">
        <v>82</v>
      </c>
    </row>
    <row r="4" spans="2:14" ht="18.75" customHeight="1" x14ac:dyDescent="0.2">
      <c r="B4" s="36"/>
      <c r="C4" s="904" t="s">
        <v>80</v>
      </c>
      <c r="D4" s="904"/>
      <c r="E4" s="904"/>
      <c r="F4" s="904" t="s">
        <v>81</v>
      </c>
      <c r="G4" s="904"/>
      <c r="H4" s="904"/>
      <c r="I4" s="904" t="s">
        <v>188</v>
      </c>
      <c r="J4" s="904"/>
      <c r="K4" s="904"/>
      <c r="L4" s="169"/>
      <c r="M4" s="6"/>
      <c r="N4" s="6"/>
    </row>
    <row r="5" spans="2:14" ht="14.25" customHeight="1" x14ac:dyDescent="0.25">
      <c r="B5" s="39"/>
      <c r="C5" s="906" t="s">
        <v>155</v>
      </c>
      <c r="D5" s="906"/>
      <c r="E5" s="906"/>
      <c r="F5" s="905" t="s">
        <v>288</v>
      </c>
      <c r="G5" s="905"/>
      <c r="H5" s="905"/>
      <c r="I5" s="27"/>
      <c r="J5" s="598" t="s">
        <v>1</v>
      </c>
      <c r="K5" s="27"/>
    </row>
    <row r="6" spans="2:14" ht="39" customHeight="1" x14ac:dyDescent="0.25">
      <c r="B6" s="319"/>
      <c r="C6" s="308" t="s">
        <v>27</v>
      </c>
      <c r="D6" s="308" t="s">
        <v>198</v>
      </c>
      <c r="E6" s="308" t="s">
        <v>76</v>
      </c>
      <c r="F6" s="308" t="s">
        <v>27</v>
      </c>
      <c r="G6" s="308" t="s">
        <v>198</v>
      </c>
      <c r="H6" s="308" t="s">
        <v>76</v>
      </c>
      <c r="I6" s="308" t="s">
        <v>27</v>
      </c>
      <c r="J6" s="308" t="s">
        <v>198</v>
      </c>
      <c r="K6" s="308" t="s">
        <v>76</v>
      </c>
      <c r="L6" s="304"/>
    </row>
    <row r="7" spans="2:14" ht="44.25" customHeight="1" x14ac:dyDescent="0.2">
      <c r="B7" s="309"/>
      <c r="C7" s="318"/>
      <c r="D7" s="309" t="s">
        <v>133</v>
      </c>
      <c r="E7" s="309" t="s">
        <v>154</v>
      </c>
      <c r="F7" s="318"/>
      <c r="G7" s="309" t="s">
        <v>133</v>
      </c>
      <c r="H7" s="309" t="s">
        <v>83</v>
      </c>
      <c r="I7" s="318"/>
      <c r="J7" s="309" t="s">
        <v>133</v>
      </c>
      <c r="K7" s="309" t="s">
        <v>154</v>
      </c>
      <c r="L7" s="307"/>
    </row>
    <row r="8" spans="2:14" ht="16.5" customHeight="1" thickBot="1" x14ac:dyDescent="0.3">
      <c r="B8" s="166" t="s">
        <v>261</v>
      </c>
      <c r="C8" s="45" t="s">
        <v>129</v>
      </c>
      <c r="D8" s="45" t="s">
        <v>128</v>
      </c>
      <c r="E8" s="44"/>
      <c r="F8" s="45" t="s">
        <v>129</v>
      </c>
      <c r="G8" s="45" t="s">
        <v>128</v>
      </c>
      <c r="H8" s="44"/>
      <c r="I8" s="45" t="s">
        <v>129</v>
      </c>
      <c r="J8" s="45" t="s">
        <v>128</v>
      </c>
      <c r="K8" s="45"/>
      <c r="L8" s="22" t="s">
        <v>307</v>
      </c>
    </row>
    <row r="9" spans="2:14" s="289" customFormat="1" ht="19.5" customHeight="1" thickTop="1" x14ac:dyDescent="0.2">
      <c r="B9" s="402" t="s">
        <v>251</v>
      </c>
      <c r="C9" s="403">
        <v>6069</v>
      </c>
      <c r="D9" s="403">
        <v>1418716</v>
      </c>
      <c r="E9" s="403">
        <v>691486312</v>
      </c>
      <c r="F9" s="403">
        <v>1890</v>
      </c>
      <c r="G9" s="403">
        <v>283034</v>
      </c>
      <c r="H9" s="403">
        <v>111761221</v>
      </c>
      <c r="I9" s="403">
        <f t="shared" ref="I9:K14" si="0">C9+F9</f>
        <v>7959</v>
      </c>
      <c r="J9" s="403">
        <f t="shared" si="0"/>
        <v>1701750</v>
      </c>
      <c r="K9" s="612">
        <f t="shared" si="0"/>
        <v>803247533</v>
      </c>
      <c r="L9" s="595" t="s">
        <v>252</v>
      </c>
    </row>
    <row r="10" spans="2:14" s="289" customFormat="1" ht="21" customHeight="1" x14ac:dyDescent="0.2">
      <c r="B10" s="597" t="s">
        <v>253</v>
      </c>
      <c r="C10" s="170">
        <v>5</v>
      </c>
      <c r="D10" s="170">
        <v>2921</v>
      </c>
      <c r="E10" s="170">
        <v>792501</v>
      </c>
      <c r="F10" s="170">
        <v>1</v>
      </c>
      <c r="G10" s="170">
        <v>68</v>
      </c>
      <c r="H10" s="170">
        <v>27300</v>
      </c>
      <c r="I10" s="170">
        <f t="shared" si="0"/>
        <v>6</v>
      </c>
      <c r="J10" s="170">
        <f t="shared" si="0"/>
        <v>2989</v>
      </c>
      <c r="K10" s="170">
        <f t="shared" si="0"/>
        <v>819801</v>
      </c>
      <c r="L10" s="599" t="s">
        <v>183</v>
      </c>
    </row>
    <row r="11" spans="2:14" s="289" customFormat="1" ht="25.5" customHeight="1" x14ac:dyDescent="0.2">
      <c r="B11" s="390" t="s">
        <v>254</v>
      </c>
      <c r="C11" s="412">
        <v>126</v>
      </c>
      <c r="D11" s="412">
        <v>180286</v>
      </c>
      <c r="E11" s="412">
        <v>71115842</v>
      </c>
      <c r="F11" s="412">
        <v>8</v>
      </c>
      <c r="G11" s="412">
        <v>4638</v>
      </c>
      <c r="H11" s="412">
        <v>1771867</v>
      </c>
      <c r="I11" s="412">
        <f t="shared" si="0"/>
        <v>134</v>
      </c>
      <c r="J11" s="412">
        <f t="shared" si="0"/>
        <v>184924</v>
      </c>
      <c r="K11" s="412">
        <f t="shared" si="0"/>
        <v>72887709</v>
      </c>
      <c r="L11" s="404" t="s">
        <v>255</v>
      </c>
    </row>
    <row r="12" spans="2:14" s="289" customFormat="1" ht="15" customHeight="1" x14ac:dyDescent="0.2">
      <c r="B12" s="597" t="s">
        <v>256</v>
      </c>
      <c r="C12" s="170">
        <v>12</v>
      </c>
      <c r="D12" s="170">
        <v>15456</v>
      </c>
      <c r="E12" s="170">
        <v>5507834</v>
      </c>
      <c r="F12" s="170">
        <v>1</v>
      </c>
      <c r="G12" s="170">
        <v>604</v>
      </c>
      <c r="H12" s="170">
        <v>123504</v>
      </c>
      <c r="I12" s="170">
        <f t="shared" si="0"/>
        <v>13</v>
      </c>
      <c r="J12" s="170">
        <f t="shared" si="0"/>
        <v>16060</v>
      </c>
      <c r="K12" s="170">
        <f t="shared" si="0"/>
        <v>5631338</v>
      </c>
      <c r="L12" s="599" t="s">
        <v>257</v>
      </c>
    </row>
    <row r="13" spans="2:14" s="289" customFormat="1" ht="21" customHeight="1" x14ac:dyDescent="0.2">
      <c r="B13" s="390" t="s">
        <v>258</v>
      </c>
      <c r="C13" s="412">
        <v>6</v>
      </c>
      <c r="D13" s="412">
        <v>5165</v>
      </c>
      <c r="E13" s="412">
        <v>1958926</v>
      </c>
      <c r="F13" s="412">
        <v>3</v>
      </c>
      <c r="G13" s="412">
        <v>302</v>
      </c>
      <c r="H13" s="412">
        <v>85242</v>
      </c>
      <c r="I13" s="412">
        <f t="shared" si="0"/>
        <v>9</v>
      </c>
      <c r="J13" s="412">
        <f t="shared" si="0"/>
        <v>5467</v>
      </c>
      <c r="K13" s="412">
        <f t="shared" si="0"/>
        <v>2044168</v>
      </c>
      <c r="L13" s="404" t="s">
        <v>255</v>
      </c>
    </row>
    <row r="14" spans="2:14" s="289" customFormat="1" ht="15.75" customHeight="1" x14ac:dyDescent="0.2">
      <c r="B14" s="597" t="s">
        <v>259</v>
      </c>
      <c r="C14" s="170">
        <v>9</v>
      </c>
      <c r="D14" s="170">
        <v>13871</v>
      </c>
      <c r="E14" s="170">
        <v>5003167</v>
      </c>
      <c r="F14" s="170">
        <v>1</v>
      </c>
      <c r="G14" s="170">
        <v>154</v>
      </c>
      <c r="H14" s="170">
        <v>46965</v>
      </c>
      <c r="I14" s="170">
        <f t="shared" si="0"/>
        <v>10</v>
      </c>
      <c r="J14" s="170">
        <f t="shared" si="0"/>
        <v>14025</v>
      </c>
      <c r="K14" s="170">
        <f t="shared" si="0"/>
        <v>5050132</v>
      </c>
      <c r="L14" s="599" t="s">
        <v>184</v>
      </c>
    </row>
    <row r="15" spans="2:14" s="289" customFormat="1" ht="21" customHeight="1" thickBot="1" x14ac:dyDescent="0.25">
      <c r="B15" s="405" t="s">
        <v>260</v>
      </c>
      <c r="C15" s="611">
        <f t="shared" ref="C15:K15" si="1">SUM(C9:C14)</f>
        <v>6227</v>
      </c>
      <c r="D15" s="406">
        <f t="shared" si="1"/>
        <v>1636415</v>
      </c>
      <c r="E15" s="611">
        <f t="shared" si="1"/>
        <v>775864582</v>
      </c>
      <c r="F15" s="406">
        <f t="shared" si="1"/>
        <v>1904</v>
      </c>
      <c r="G15" s="406">
        <f t="shared" si="1"/>
        <v>288800</v>
      </c>
      <c r="H15" s="406">
        <f t="shared" si="1"/>
        <v>113816099</v>
      </c>
      <c r="I15" s="406">
        <f t="shared" si="1"/>
        <v>8131</v>
      </c>
      <c r="J15" s="406">
        <f t="shared" si="1"/>
        <v>1925215</v>
      </c>
      <c r="K15" s="406">
        <f t="shared" si="1"/>
        <v>889680681</v>
      </c>
      <c r="L15" s="406" t="s">
        <v>105</v>
      </c>
    </row>
    <row r="16" spans="2:14" ht="13.5" thickTop="1" x14ac:dyDescent="0.2">
      <c r="B16" s="221"/>
      <c r="C16" s="221"/>
      <c r="D16" s="221"/>
      <c r="E16" s="221"/>
      <c r="F16" s="221"/>
      <c r="G16" s="221"/>
      <c r="H16" s="221"/>
      <c r="I16" s="221"/>
      <c r="J16" s="221"/>
      <c r="K16" s="202"/>
    </row>
    <row r="17" spans="2:12" ht="13.5" customHeight="1" x14ac:dyDescent="0.2">
      <c r="B17" s="221"/>
      <c r="C17" s="221"/>
      <c r="D17" s="221"/>
      <c r="E17" s="221"/>
      <c r="F17" s="221"/>
      <c r="G17" s="221"/>
      <c r="H17" s="221"/>
      <c r="I17" s="221"/>
      <c r="J17" s="221"/>
      <c r="K17" s="202"/>
    </row>
    <row r="18" spans="2:12" ht="5.2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2" ht="15" x14ac:dyDescent="0.2">
      <c r="C19" s="902"/>
      <c r="D19" s="902"/>
      <c r="E19" s="902"/>
      <c r="F19" s="7"/>
      <c r="G19" s="7"/>
      <c r="H19" s="7"/>
      <c r="I19" s="7"/>
      <c r="J19" s="7"/>
      <c r="K19" s="7"/>
      <c r="L19" s="203"/>
    </row>
    <row r="20" spans="2:12" x14ac:dyDescent="0.2">
      <c r="B20" s="13"/>
      <c r="C20" s="13"/>
      <c r="D20" s="13"/>
      <c r="G20" s="13"/>
    </row>
    <row r="26" spans="2:12" x14ac:dyDescent="0.2">
      <c r="J26" s="5"/>
    </row>
  </sheetData>
  <mergeCells count="8">
    <mergeCell ref="C19:E19"/>
    <mergeCell ref="B1:K1"/>
    <mergeCell ref="C4:E4"/>
    <mergeCell ref="F4:H4"/>
    <mergeCell ref="I4:K4"/>
    <mergeCell ref="F5:H5"/>
    <mergeCell ref="C5:E5"/>
    <mergeCell ref="B2:L2"/>
  </mergeCells>
  <phoneticPr fontId="3" type="noConversion"/>
  <printOptions horizontalCentered="1" verticalCentered="1"/>
  <pageMargins left="0.19685039370078741" right="0.2" top="1.32" bottom="1.1200000000000001" header="0.31496062992125984" footer="0.78"/>
  <pageSetup orientation="landscape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H19"/>
  <sheetViews>
    <sheetView rightToLeft="1" zoomScaleNormal="100" zoomScaleSheetLayoutView="100" workbookViewId="0">
      <selection activeCell="M20" sqref="M20"/>
    </sheetView>
  </sheetViews>
  <sheetFormatPr defaultRowHeight="12.75" x14ac:dyDescent="0.2"/>
  <cols>
    <col min="1" max="1" width="11.140625" customWidth="1"/>
    <col min="2" max="2" width="12" customWidth="1"/>
    <col min="3" max="3" width="15" customWidth="1"/>
    <col min="4" max="4" width="12.5703125" customWidth="1"/>
    <col min="5" max="5" width="14.42578125" customWidth="1"/>
    <col min="6" max="6" width="12.42578125" customWidth="1"/>
    <col min="7" max="7" width="15.42578125" customWidth="1"/>
    <col min="8" max="8" width="10" customWidth="1"/>
    <col min="9" max="9" width="17.5703125" customWidth="1"/>
  </cols>
  <sheetData>
    <row r="1" spans="1:398" ht="15" customHeight="1" x14ac:dyDescent="0.2">
      <c r="A1" s="903" t="s">
        <v>431</v>
      </c>
      <c r="B1" s="903"/>
      <c r="C1" s="903"/>
      <c r="D1" s="903"/>
      <c r="E1" s="903"/>
      <c r="F1" s="903"/>
      <c r="G1" s="903"/>
      <c r="H1" s="903"/>
      <c r="I1" s="903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</row>
    <row r="2" spans="1:398" ht="12.75" customHeight="1" x14ac:dyDescent="0.2">
      <c r="A2" s="905" t="s">
        <v>433</v>
      </c>
      <c r="B2" s="905"/>
      <c r="C2" s="905"/>
      <c r="D2" s="905"/>
      <c r="E2" s="905"/>
      <c r="F2" s="905"/>
      <c r="G2" s="905"/>
      <c r="H2" s="905"/>
      <c r="I2" s="90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</row>
    <row r="3" spans="1:398" ht="12.75" customHeight="1" x14ac:dyDescent="0.2">
      <c r="A3" s="905"/>
      <c r="B3" s="905"/>
      <c r="C3" s="905"/>
      <c r="D3" s="905"/>
      <c r="E3" s="905"/>
      <c r="F3" s="905"/>
      <c r="G3" s="905"/>
      <c r="H3" s="905"/>
      <c r="I3" s="90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</row>
    <row r="4" spans="1:398" s="6" customFormat="1" ht="15" x14ac:dyDescent="0.25">
      <c r="A4" s="204"/>
      <c r="B4" s="204"/>
      <c r="C4" s="204"/>
      <c r="D4" s="204"/>
      <c r="E4" s="204"/>
      <c r="F4" s="204"/>
      <c r="G4" s="926" t="s">
        <v>477</v>
      </c>
      <c r="H4" s="926"/>
      <c r="I4" s="926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</row>
    <row r="5" spans="1:398" ht="15" customHeight="1" thickBot="1" x14ac:dyDescent="0.3">
      <c r="A5" s="956" t="s">
        <v>495</v>
      </c>
      <c r="B5" s="956"/>
      <c r="C5" s="886" t="s">
        <v>220</v>
      </c>
      <c r="D5" s="348"/>
      <c r="E5" s="24"/>
      <c r="F5" s="24"/>
      <c r="G5" s="887" t="s">
        <v>144</v>
      </c>
      <c r="H5" s="909" t="s">
        <v>331</v>
      </c>
      <c r="I5" s="909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</row>
    <row r="6" spans="1:398" s="307" customFormat="1" ht="15" customHeight="1" x14ac:dyDescent="0.25">
      <c r="A6" s="319"/>
      <c r="B6" s="884" t="s">
        <v>215</v>
      </c>
      <c r="C6" s="884"/>
      <c r="D6" s="884" t="s">
        <v>216</v>
      </c>
      <c r="E6" s="884"/>
      <c r="F6" s="901" t="s">
        <v>218</v>
      </c>
      <c r="G6" s="901"/>
      <c r="H6" s="319"/>
      <c r="I6" s="888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1"/>
      <c r="U6" s="751"/>
      <c r="V6" s="751"/>
      <c r="W6" s="751"/>
      <c r="X6" s="751"/>
      <c r="Y6" s="751"/>
      <c r="Z6" s="751"/>
      <c r="AA6" s="751"/>
      <c r="AB6" s="751"/>
      <c r="AC6" s="751"/>
      <c r="AD6" s="751"/>
      <c r="AE6" s="751"/>
      <c r="AF6" s="751"/>
      <c r="AG6" s="751"/>
      <c r="AH6" s="751"/>
      <c r="AI6" s="751"/>
      <c r="AJ6" s="751"/>
      <c r="AK6" s="751"/>
      <c r="AL6" s="751"/>
      <c r="AM6" s="751"/>
      <c r="AN6" s="751"/>
      <c r="AO6" s="751"/>
      <c r="AP6" s="751"/>
      <c r="AQ6" s="751"/>
      <c r="AR6" s="751"/>
      <c r="AS6" s="751"/>
      <c r="AT6" s="751"/>
      <c r="AU6" s="751"/>
      <c r="AV6" s="751"/>
      <c r="AW6" s="751"/>
      <c r="AX6" s="751"/>
      <c r="AY6" s="751"/>
      <c r="AZ6" s="751"/>
      <c r="BA6" s="751"/>
      <c r="BB6" s="751"/>
      <c r="BC6" s="751"/>
      <c r="BD6" s="751"/>
      <c r="BE6" s="751"/>
      <c r="BF6" s="751"/>
      <c r="BG6" s="751"/>
      <c r="BH6" s="751"/>
      <c r="BI6" s="751"/>
      <c r="BJ6" s="751"/>
      <c r="BK6" s="751"/>
      <c r="BL6" s="751"/>
      <c r="BM6" s="751"/>
      <c r="BN6" s="751"/>
      <c r="BO6" s="751"/>
      <c r="BP6" s="751"/>
      <c r="BQ6" s="751"/>
      <c r="BR6" s="751"/>
      <c r="BS6" s="751"/>
      <c r="BT6" s="751"/>
      <c r="BU6" s="751"/>
      <c r="BV6" s="751"/>
      <c r="BW6" s="751"/>
      <c r="BX6" s="751"/>
      <c r="BY6" s="751"/>
      <c r="BZ6" s="751"/>
      <c r="CA6" s="751"/>
      <c r="CB6" s="751"/>
      <c r="CC6" s="751"/>
      <c r="CD6" s="751"/>
      <c r="CE6" s="751"/>
      <c r="CF6" s="751"/>
      <c r="CG6" s="751"/>
      <c r="CH6" s="751"/>
      <c r="CI6" s="751"/>
      <c r="CJ6" s="751"/>
      <c r="CK6" s="751"/>
      <c r="CL6" s="751"/>
      <c r="CM6" s="751"/>
      <c r="CN6" s="751"/>
      <c r="CO6" s="751"/>
      <c r="CP6" s="751"/>
      <c r="CQ6" s="751"/>
      <c r="CR6" s="751"/>
      <c r="CS6" s="751"/>
      <c r="CT6" s="751"/>
      <c r="CU6" s="751"/>
      <c r="CV6" s="751"/>
      <c r="CW6" s="751"/>
      <c r="CX6" s="751"/>
      <c r="CY6" s="751"/>
      <c r="CZ6" s="751"/>
      <c r="DA6" s="751"/>
      <c r="DB6" s="751"/>
      <c r="DC6" s="751"/>
      <c r="DD6" s="751"/>
      <c r="DE6" s="751"/>
      <c r="DF6" s="751"/>
      <c r="DG6" s="751"/>
      <c r="DH6" s="751"/>
      <c r="DI6" s="751"/>
      <c r="DJ6" s="751"/>
      <c r="DK6" s="751"/>
      <c r="DL6" s="751"/>
      <c r="DM6" s="751"/>
      <c r="DN6" s="751"/>
      <c r="DO6" s="751"/>
      <c r="DP6" s="751"/>
      <c r="DQ6" s="751"/>
      <c r="DR6" s="751"/>
      <c r="DS6" s="751"/>
      <c r="DT6" s="751"/>
      <c r="DU6" s="751"/>
      <c r="DV6" s="751"/>
      <c r="DW6" s="751"/>
      <c r="DX6" s="751"/>
      <c r="DY6" s="751"/>
      <c r="DZ6" s="751"/>
      <c r="EA6" s="751"/>
      <c r="EB6" s="751"/>
      <c r="EC6" s="751"/>
      <c r="ED6" s="751"/>
      <c r="EE6" s="751"/>
      <c r="EF6" s="751"/>
      <c r="EG6" s="751"/>
      <c r="EH6" s="751"/>
      <c r="EI6" s="751"/>
      <c r="EJ6" s="751"/>
      <c r="EK6" s="751"/>
      <c r="EL6" s="751"/>
      <c r="EM6" s="751"/>
      <c r="EN6" s="751"/>
      <c r="EO6" s="751"/>
      <c r="EP6" s="751"/>
      <c r="EQ6" s="751"/>
      <c r="ER6" s="751"/>
      <c r="ES6" s="751"/>
      <c r="ET6" s="751"/>
      <c r="EU6" s="751"/>
      <c r="EV6" s="751"/>
      <c r="EW6" s="751"/>
      <c r="EX6" s="751"/>
      <c r="EY6" s="751"/>
      <c r="EZ6" s="751"/>
      <c r="FA6" s="751"/>
      <c r="FB6" s="751"/>
      <c r="FC6" s="751"/>
      <c r="FD6" s="751"/>
      <c r="FE6" s="751"/>
      <c r="FF6" s="751"/>
      <c r="FG6" s="751"/>
      <c r="FH6" s="751"/>
      <c r="FI6" s="751"/>
      <c r="FJ6" s="751"/>
      <c r="FK6" s="751"/>
      <c r="FL6" s="751"/>
      <c r="FM6" s="751"/>
      <c r="FN6" s="751"/>
      <c r="FO6" s="751"/>
      <c r="FP6" s="751"/>
      <c r="FQ6" s="751"/>
      <c r="FR6" s="751"/>
      <c r="FS6" s="751"/>
      <c r="FT6" s="751"/>
      <c r="FU6" s="751"/>
      <c r="FV6" s="751"/>
      <c r="FW6" s="751"/>
      <c r="FX6" s="751"/>
      <c r="FY6" s="751"/>
      <c r="FZ6" s="751"/>
      <c r="GA6" s="751"/>
      <c r="GB6" s="751"/>
      <c r="GC6" s="751"/>
      <c r="GD6" s="751"/>
      <c r="GE6" s="751"/>
      <c r="GF6" s="751"/>
      <c r="GG6" s="751"/>
      <c r="GH6" s="751"/>
      <c r="GI6" s="751"/>
      <c r="GJ6" s="751"/>
      <c r="GK6" s="751"/>
      <c r="GL6" s="751"/>
      <c r="GM6" s="751"/>
      <c r="GN6" s="751"/>
      <c r="GO6" s="751"/>
      <c r="GP6" s="751"/>
      <c r="GQ6" s="751"/>
      <c r="GR6" s="751"/>
      <c r="GS6" s="751"/>
      <c r="GT6" s="751"/>
      <c r="GU6" s="751"/>
      <c r="GV6" s="751"/>
      <c r="GW6" s="751"/>
      <c r="GX6" s="751"/>
      <c r="GY6" s="751"/>
      <c r="GZ6" s="751"/>
      <c r="HA6" s="751"/>
      <c r="HB6" s="751"/>
      <c r="HC6" s="751"/>
      <c r="HD6" s="751"/>
      <c r="HE6" s="751"/>
      <c r="HF6" s="751"/>
      <c r="HG6" s="751"/>
      <c r="HH6" s="751"/>
      <c r="HI6" s="751"/>
      <c r="HJ6" s="751"/>
      <c r="HK6" s="751"/>
      <c r="HL6" s="751"/>
      <c r="HM6" s="751"/>
      <c r="HN6" s="751"/>
      <c r="HO6" s="751"/>
      <c r="HP6" s="751"/>
      <c r="HQ6" s="751"/>
      <c r="HR6" s="751"/>
      <c r="HS6" s="751"/>
      <c r="HT6" s="751"/>
      <c r="HU6" s="751"/>
      <c r="HV6" s="751"/>
      <c r="HW6" s="751"/>
      <c r="HX6" s="751"/>
      <c r="HY6" s="751"/>
      <c r="HZ6" s="751"/>
      <c r="IA6" s="751"/>
      <c r="IB6" s="751"/>
      <c r="IC6" s="751"/>
      <c r="ID6" s="751"/>
      <c r="IE6" s="751"/>
      <c r="IF6" s="751"/>
      <c r="IG6" s="751"/>
      <c r="IH6" s="751"/>
      <c r="II6" s="751"/>
      <c r="IJ6" s="751"/>
      <c r="IK6" s="751"/>
      <c r="IL6" s="751"/>
      <c r="IM6" s="751"/>
      <c r="IN6" s="751"/>
      <c r="IO6" s="751"/>
      <c r="IP6" s="751"/>
      <c r="IQ6" s="751"/>
      <c r="IR6" s="751"/>
      <c r="IS6" s="751"/>
      <c r="IT6" s="751"/>
      <c r="IU6" s="751"/>
      <c r="IV6" s="751"/>
      <c r="IW6" s="751"/>
      <c r="IX6" s="751"/>
      <c r="IY6" s="751"/>
      <c r="IZ6" s="751"/>
      <c r="JA6" s="751"/>
      <c r="JB6" s="751"/>
      <c r="JC6" s="751"/>
      <c r="JD6" s="751"/>
      <c r="JE6" s="751"/>
      <c r="JF6" s="751"/>
      <c r="JG6" s="751"/>
      <c r="JH6" s="751"/>
      <c r="JI6" s="751"/>
      <c r="JJ6" s="751"/>
      <c r="JK6" s="751"/>
      <c r="JL6" s="751"/>
      <c r="JM6" s="751"/>
      <c r="JN6" s="751"/>
      <c r="JO6" s="751"/>
      <c r="JP6" s="751"/>
      <c r="JQ6" s="751"/>
      <c r="JR6" s="751"/>
      <c r="JS6" s="751"/>
      <c r="JT6" s="751"/>
      <c r="JU6" s="751"/>
      <c r="JV6" s="751"/>
      <c r="JW6" s="751"/>
      <c r="JX6" s="751"/>
      <c r="JY6" s="751"/>
      <c r="JZ6" s="751"/>
      <c r="KA6" s="751"/>
      <c r="KB6" s="751"/>
      <c r="KC6" s="751"/>
      <c r="KD6" s="751"/>
      <c r="KE6" s="751"/>
      <c r="KF6" s="751"/>
      <c r="KG6" s="751"/>
      <c r="KH6" s="751"/>
      <c r="KI6" s="751"/>
      <c r="KJ6" s="751"/>
      <c r="KK6" s="751"/>
      <c r="KL6" s="751"/>
      <c r="KM6" s="751"/>
      <c r="KN6" s="751"/>
      <c r="KO6" s="751"/>
      <c r="KP6" s="751"/>
      <c r="KQ6" s="751"/>
      <c r="KR6" s="751"/>
      <c r="KS6" s="751"/>
      <c r="KT6" s="751"/>
      <c r="KU6" s="751"/>
      <c r="KV6" s="751"/>
      <c r="KW6" s="751"/>
      <c r="KX6" s="751"/>
      <c r="KY6" s="751"/>
      <c r="KZ6" s="751"/>
      <c r="LA6" s="751"/>
      <c r="LB6" s="751"/>
      <c r="LC6" s="751"/>
      <c r="LD6" s="751"/>
      <c r="LE6" s="751"/>
      <c r="LF6" s="751"/>
      <c r="LG6" s="751"/>
      <c r="LH6" s="751"/>
      <c r="LI6" s="751"/>
      <c r="LJ6" s="751"/>
      <c r="LK6" s="751"/>
      <c r="LL6" s="751"/>
      <c r="LM6" s="751"/>
      <c r="LN6" s="751"/>
      <c r="LO6" s="751"/>
      <c r="LP6" s="751"/>
      <c r="LQ6" s="751"/>
      <c r="LR6" s="751"/>
      <c r="LS6" s="751"/>
      <c r="LT6" s="751"/>
      <c r="LU6" s="751"/>
      <c r="LV6" s="751"/>
      <c r="LW6" s="751"/>
      <c r="LX6" s="751"/>
      <c r="LY6" s="751"/>
      <c r="LZ6" s="751"/>
      <c r="MA6" s="751"/>
      <c r="MB6" s="751"/>
      <c r="MC6" s="751"/>
      <c r="MD6" s="751"/>
      <c r="ME6" s="751"/>
      <c r="MF6" s="751"/>
      <c r="MG6" s="751"/>
      <c r="MH6" s="751"/>
      <c r="MI6" s="751"/>
      <c r="MJ6" s="751"/>
      <c r="MK6" s="751"/>
      <c r="ML6" s="751"/>
      <c r="MM6" s="751"/>
      <c r="MN6" s="751"/>
      <c r="MO6" s="751"/>
      <c r="MP6" s="751"/>
      <c r="MQ6" s="751"/>
      <c r="MR6" s="751"/>
      <c r="MS6" s="751"/>
      <c r="MT6" s="751"/>
      <c r="MU6" s="751"/>
      <c r="MV6" s="751"/>
      <c r="MW6" s="751"/>
      <c r="MX6" s="751"/>
      <c r="MY6" s="751"/>
      <c r="MZ6" s="751"/>
      <c r="NA6" s="751"/>
      <c r="NB6" s="751"/>
      <c r="NC6" s="751"/>
      <c r="ND6" s="751"/>
      <c r="NE6" s="751"/>
      <c r="NF6" s="751"/>
      <c r="NG6" s="751"/>
      <c r="NH6" s="751"/>
      <c r="NI6" s="751"/>
      <c r="NJ6" s="751"/>
      <c r="NK6" s="751"/>
      <c r="NL6" s="751"/>
      <c r="NM6" s="751"/>
      <c r="NN6" s="751"/>
      <c r="NO6" s="751"/>
      <c r="NP6" s="751"/>
      <c r="NQ6" s="751"/>
      <c r="NR6" s="751"/>
      <c r="NS6" s="751"/>
      <c r="NT6" s="751"/>
      <c r="NU6" s="751"/>
      <c r="NV6" s="751"/>
      <c r="NW6" s="751"/>
      <c r="NX6" s="751"/>
      <c r="NY6" s="751"/>
      <c r="NZ6" s="751"/>
      <c r="OA6" s="751"/>
      <c r="OB6" s="751"/>
      <c r="OC6" s="751"/>
      <c r="OD6" s="751"/>
      <c r="OE6" s="751"/>
      <c r="OF6" s="751"/>
      <c r="OG6" s="751"/>
      <c r="OH6" s="751"/>
    </row>
    <row r="7" spans="1:398" s="6" customFormat="1" ht="15" x14ac:dyDescent="0.2">
      <c r="A7" s="885"/>
      <c r="B7" s="885" t="s">
        <v>297</v>
      </c>
      <c r="C7" s="885"/>
      <c r="D7" s="885" t="s">
        <v>217</v>
      </c>
      <c r="E7" s="885"/>
      <c r="F7" s="885" t="s">
        <v>219</v>
      </c>
      <c r="G7" s="959" t="s">
        <v>224</v>
      </c>
      <c r="H7" s="959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</row>
    <row r="8" spans="1:398" s="6" customFormat="1" ht="15.75" thickBot="1" x14ac:dyDescent="0.25">
      <c r="A8" s="886"/>
      <c r="B8" s="886" t="s">
        <v>193</v>
      </c>
      <c r="C8" s="886" t="s">
        <v>224</v>
      </c>
      <c r="D8" s="886" t="s">
        <v>193</v>
      </c>
      <c r="E8" s="886" t="s">
        <v>224</v>
      </c>
      <c r="F8" s="886" t="s">
        <v>193</v>
      </c>
      <c r="G8" s="957"/>
      <c r="H8" s="957"/>
      <c r="I8" s="438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</row>
    <row r="9" spans="1:398" s="6" customFormat="1" ht="15.75" thickBot="1" x14ac:dyDescent="0.3">
      <c r="A9" s="886" t="s">
        <v>58</v>
      </c>
      <c r="B9" s="886" t="s">
        <v>130</v>
      </c>
      <c r="C9" s="886" t="s">
        <v>29</v>
      </c>
      <c r="D9" s="886" t="s">
        <v>130</v>
      </c>
      <c r="E9" s="886" t="s">
        <v>29</v>
      </c>
      <c r="F9" s="886" t="s">
        <v>130</v>
      </c>
      <c r="G9" s="957" t="s">
        <v>29</v>
      </c>
      <c r="H9" s="957" t="s">
        <v>26</v>
      </c>
      <c r="I9" s="889" t="s">
        <v>26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</row>
    <row r="10" spans="1:398" s="6" customFormat="1" ht="15" x14ac:dyDescent="0.25">
      <c r="A10" s="884" t="s">
        <v>356</v>
      </c>
      <c r="B10" s="884">
        <v>17385</v>
      </c>
      <c r="C10" s="884">
        <f>B10*38</f>
        <v>660630</v>
      </c>
      <c r="D10" s="884">
        <v>4011</v>
      </c>
      <c r="E10" s="884">
        <f>D10*37</f>
        <v>148407</v>
      </c>
      <c r="F10" s="884">
        <f>B10+D10</f>
        <v>21396</v>
      </c>
      <c r="G10" s="958">
        <f>C10+E10</f>
        <v>809037</v>
      </c>
      <c r="H10" s="958" t="s">
        <v>357</v>
      </c>
      <c r="I10" s="560" t="s">
        <v>357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</row>
    <row r="11" spans="1:398" s="6" customFormat="1" ht="15" x14ac:dyDescent="0.25">
      <c r="A11" s="885" t="s">
        <v>30</v>
      </c>
      <c r="B11" s="885">
        <v>2714</v>
      </c>
      <c r="C11" s="885">
        <f t="shared" ref="C11:C15" si="0">B11*38</f>
        <v>103132</v>
      </c>
      <c r="D11" s="885">
        <v>41657</v>
      </c>
      <c r="E11" s="885">
        <f t="shared" ref="E11:E15" si="1">D11*37</f>
        <v>1541309</v>
      </c>
      <c r="F11" s="885">
        <f t="shared" ref="F11:F15" si="2">B11+D11</f>
        <v>44371</v>
      </c>
      <c r="G11" s="959">
        <f t="shared" ref="G11:G15" si="3">C11+E11</f>
        <v>1644441</v>
      </c>
      <c r="H11" s="959" t="s">
        <v>31</v>
      </c>
      <c r="I11" s="681" t="s">
        <v>31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</row>
    <row r="12" spans="1:398" s="6" customFormat="1" ht="15" x14ac:dyDescent="0.25">
      <c r="A12" s="884" t="s">
        <v>3</v>
      </c>
      <c r="B12" s="884">
        <v>19164</v>
      </c>
      <c r="C12" s="884">
        <f t="shared" si="0"/>
        <v>728232</v>
      </c>
      <c r="D12" s="884">
        <v>49297</v>
      </c>
      <c r="E12" s="884">
        <f t="shared" si="1"/>
        <v>1823989</v>
      </c>
      <c r="F12" s="884">
        <f t="shared" si="2"/>
        <v>68461</v>
      </c>
      <c r="G12" s="958">
        <f t="shared" si="3"/>
        <v>2552221</v>
      </c>
      <c r="H12" s="958" t="s">
        <v>15</v>
      </c>
      <c r="I12" s="562" t="s">
        <v>15</v>
      </c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</row>
    <row r="13" spans="1:398" s="6" customFormat="1" ht="15" x14ac:dyDescent="0.25">
      <c r="A13" s="885" t="s">
        <v>342</v>
      </c>
      <c r="B13" s="885">
        <v>12878</v>
      </c>
      <c r="C13" s="885">
        <f t="shared" si="0"/>
        <v>489364</v>
      </c>
      <c r="D13" s="885">
        <v>13253</v>
      </c>
      <c r="E13" s="885">
        <f t="shared" si="1"/>
        <v>490361</v>
      </c>
      <c r="F13" s="885">
        <f t="shared" si="2"/>
        <v>26131</v>
      </c>
      <c r="G13" s="959">
        <f t="shared" si="3"/>
        <v>979725</v>
      </c>
      <c r="H13" s="959" t="s">
        <v>337</v>
      </c>
      <c r="I13" s="681" t="s">
        <v>337</v>
      </c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</row>
    <row r="14" spans="1:398" s="6" customFormat="1" ht="15" x14ac:dyDescent="0.25">
      <c r="A14" s="884" t="s">
        <v>4</v>
      </c>
      <c r="B14" s="884">
        <v>111813</v>
      </c>
      <c r="C14" s="884">
        <f t="shared" si="0"/>
        <v>4248894</v>
      </c>
      <c r="D14" s="884">
        <v>0</v>
      </c>
      <c r="E14" s="884">
        <f t="shared" si="1"/>
        <v>0</v>
      </c>
      <c r="F14" s="884">
        <f t="shared" si="2"/>
        <v>111813</v>
      </c>
      <c r="G14" s="958">
        <f t="shared" si="3"/>
        <v>4248894</v>
      </c>
      <c r="H14" s="958" t="s">
        <v>16</v>
      </c>
      <c r="I14" s="562" t="s">
        <v>16</v>
      </c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</row>
    <row r="15" spans="1:398" s="6" customFormat="1" ht="15.75" thickBot="1" x14ac:dyDescent="0.3">
      <c r="A15" s="886" t="s">
        <v>2</v>
      </c>
      <c r="B15" s="886">
        <v>3602</v>
      </c>
      <c r="C15" s="886">
        <f t="shared" si="0"/>
        <v>136876</v>
      </c>
      <c r="D15" s="886">
        <v>2076</v>
      </c>
      <c r="E15" s="886">
        <f t="shared" si="1"/>
        <v>76812</v>
      </c>
      <c r="F15" s="886">
        <f t="shared" si="2"/>
        <v>5678</v>
      </c>
      <c r="G15" s="957">
        <f t="shared" si="3"/>
        <v>213688</v>
      </c>
      <c r="H15" s="957" t="s">
        <v>14</v>
      </c>
      <c r="I15" s="891" t="s">
        <v>14</v>
      </c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</row>
    <row r="16" spans="1:398" s="6" customFormat="1" ht="15.75" thickBot="1" x14ac:dyDescent="0.3">
      <c r="A16" s="886" t="s">
        <v>0</v>
      </c>
      <c r="B16" s="886">
        <f t="shared" ref="B16:G16" si="4">SUM(B10:B15)</f>
        <v>167556</v>
      </c>
      <c r="C16" s="886">
        <f t="shared" si="4"/>
        <v>6367128</v>
      </c>
      <c r="D16" s="886">
        <f t="shared" si="4"/>
        <v>110294</v>
      </c>
      <c r="E16" s="886">
        <f t="shared" si="4"/>
        <v>4080878</v>
      </c>
      <c r="F16" s="886">
        <f t="shared" si="4"/>
        <v>277850</v>
      </c>
      <c r="G16" s="957">
        <f t="shared" si="4"/>
        <v>10448006</v>
      </c>
      <c r="H16" s="957" t="s">
        <v>1</v>
      </c>
      <c r="I16" s="890" t="s">
        <v>1</v>
      </c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</row>
    <row r="17" spans="1:398" s="6" customFormat="1" ht="31.5" customHeight="1" x14ac:dyDescent="0.2">
      <c r="A17" s="960" t="s">
        <v>496</v>
      </c>
      <c r="B17" s="960"/>
      <c r="C17" s="960"/>
      <c r="D17" s="960"/>
      <c r="E17" s="960"/>
      <c r="F17" s="960"/>
      <c r="G17" s="960"/>
      <c r="H17" s="960"/>
      <c r="I17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</row>
    <row r="18" spans="1:398" ht="15" customHeight="1" x14ac:dyDescent="0.2">
      <c r="A18" s="955"/>
      <c r="B18" s="955"/>
      <c r="C18" s="955"/>
      <c r="D18" s="955"/>
      <c r="E18" s="13"/>
      <c r="F18" s="13"/>
      <c r="G18" s="13"/>
      <c r="H18" s="13"/>
    </row>
    <row r="19" spans="1:398" ht="15" customHeight="1" x14ac:dyDescent="0.2">
      <c r="A19" s="955"/>
      <c r="B19" s="955"/>
      <c r="C19" s="955"/>
      <c r="D19" s="955"/>
      <c r="E19" s="13"/>
      <c r="F19" s="13"/>
      <c r="G19" s="13"/>
      <c r="H19" s="13"/>
    </row>
  </sheetData>
  <mergeCells count="18">
    <mergeCell ref="A1:I1"/>
    <mergeCell ref="G4:I4"/>
    <mergeCell ref="H5:I5"/>
    <mergeCell ref="A2:I3"/>
    <mergeCell ref="A18:D18"/>
    <mergeCell ref="A19:D19"/>
    <mergeCell ref="F6:G6"/>
    <mergeCell ref="A5:B5"/>
    <mergeCell ref="G9:H9"/>
    <mergeCell ref="G10:H10"/>
    <mergeCell ref="G11:H11"/>
    <mergeCell ref="G12:H12"/>
    <mergeCell ref="G13:H13"/>
    <mergeCell ref="G14:H14"/>
    <mergeCell ref="G15:H15"/>
    <mergeCell ref="G16:H16"/>
    <mergeCell ref="A17:H17"/>
    <mergeCell ref="G7:H8"/>
  </mergeCells>
  <phoneticPr fontId="3" type="noConversion"/>
  <printOptions horizontalCentered="1" verticalCentered="1"/>
  <pageMargins left="0.25" right="0.71" top="9.6874999999999999E-3" bottom="0.75" header="0.35" footer="0.3"/>
  <pageSetup scale="93" orientation="landscape" verticalDpi="300" r:id="rId1"/>
  <headerFooter alignWithMargins="0">
    <oddFooter>&amp;C28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7"/>
  <sheetViews>
    <sheetView rightToLeft="1" zoomScaleSheetLayoutView="98" workbookViewId="0">
      <selection activeCell="J33" sqref="J33"/>
    </sheetView>
  </sheetViews>
  <sheetFormatPr defaultRowHeight="12.75" x14ac:dyDescent="0.2"/>
  <cols>
    <col min="1" max="1" width="11.42578125" customWidth="1"/>
    <col min="2" max="2" width="10.140625" bestFit="1" customWidth="1"/>
    <col min="3" max="3" width="16.85546875" customWidth="1"/>
    <col min="4" max="4" width="10.140625" bestFit="1" customWidth="1"/>
    <col min="5" max="5" width="13.5703125" customWidth="1"/>
    <col min="6" max="6" width="12.5703125" bestFit="1" customWidth="1"/>
    <col min="7" max="7" width="15.85546875" customWidth="1"/>
    <col min="8" max="8" width="16" customWidth="1"/>
  </cols>
  <sheetData>
    <row r="1" spans="1:8" ht="15" x14ac:dyDescent="0.2">
      <c r="A1" s="961" t="s">
        <v>463</v>
      </c>
      <c r="B1" s="961"/>
      <c r="C1" s="961"/>
      <c r="D1" s="961"/>
      <c r="E1" s="961"/>
      <c r="F1" s="961"/>
      <c r="G1" s="961"/>
      <c r="H1" s="961"/>
    </row>
    <row r="2" spans="1:8" x14ac:dyDescent="0.2">
      <c r="A2" s="962" t="s">
        <v>434</v>
      </c>
      <c r="B2" s="962"/>
      <c r="C2" s="962"/>
      <c r="D2" s="962"/>
      <c r="E2" s="962"/>
      <c r="F2" s="962"/>
      <c r="G2" s="962"/>
      <c r="H2" s="962"/>
    </row>
    <row r="3" spans="1:8" x14ac:dyDescent="0.2">
      <c r="A3" s="962"/>
      <c r="B3" s="962"/>
      <c r="C3" s="962"/>
      <c r="D3" s="962"/>
      <c r="E3" s="962"/>
      <c r="F3" s="962"/>
      <c r="G3" s="962"/>
      <c r="H3" s="962"/>
    </row>
    <row r="4" spans="1:8" ht="12.75" customHeight="1" x14ac:dyDescent="0.25">
      <c r="A4" s="22"/>
      <c r="B4" s="18"/>
      <c r="C4" s="18"/>
      <c r="D4" s="91"/>
      <c r="E4" s="18"/>
      <c r="F4" s="18"/>
      <c r="G4" s="926" t="s">
        <v>477</v>
      </c>
      <c r="H4" s="926"/>
    </row>
    <row r="5" spans="1:8" ht="15" customHeight="1" thickBot="1" x14ac:dyDescent="0.3">
      <c r="A5" s="963" t="s">
        <v>485</v>
      </c>
      <c r="B5" s="963"/>
      <c r="C5" s="92" t="s">
        <v>180</v>
      </c>
      <c r="D5" s="93"/>
      <c r="E5" s="18"/>
      <c r="F5" s="94"/>
      <c r="G5" s="95" t="s">
        <v>181</v>
      </c>
      <c r="H5" s="96" t="s">
        <v>314</v>
      </c>
    </row>
    <row r="6" spans="1:8" ht="15" customHeight="1" x14ac:dyDescent="0.25">
      <c r="A6" s="38"/>
      <c r="B6" s="101" t="s">
        <v>467</v>
      </c>
      <c r="C6" s="100"/>
      <c r="D6" s="101" t="s">
        <v>468</v>
      </c>
      <c r="E6" s="100"/>
      <c r="F6" s="101" t="s">
        <v>0</v>
      </c>
      <c r="G6" s="100"/>
      <c r="H6" s="99"/>
    </row>
    <row r="7" spans="1:8" ht="15" customHeight="1" x14ac:dyDescent="0.25">
      <c r="A7" s="41"/>
      <c r="B7" s="177" t="s">
        <v>291</v>
      </c>
      <c r="C7" s="98"/>
      <c r="D7" s="177" t="s">
        <v>290</v>
      </c>
      <c r="E7" s="98"/>
      <c r="F7" s="91" t="s">
        <v>1</v>
      </c>
      <c r="G7" s="98"/>
      <c r="H7" s="97"/>
    </row>
    <row r="8" spans="1:8" s="325" customFormat="1" ht="15" customHeight="1" thickBot="1" x14ac:dyDescent="0.25">
      <c r="A8" s="339"/>
      <c r="B8" s="340" t="s">
        <v>193</v>
      </c>
      <c r="C8" s="341" t="s">
        <v>224</v>
      </c>
      <c r="D8" s="341" t="s">
        <v>193</v>
      </c>
      <c r="E8" s="341" t="s">
        <v>224</v>
      </c>
      <c r="F8" s="341" t="s">
        <v>193</v>
      </c>
      <c r="G8" s="341" t="s">
        <v>224</v>
      </c>
      <c r="H8" s="342"/>
    </row>
    <row r="9" spans="1:8" s="325" customFormat="1" ht="15" customHeight="1" thickBot="1" x14ac:dyDescent="0.25">
      <c r="A9" s="753" t="s">
        <v>50</v>
      </c>
      <c r="B9" s="754" t="s">
        <v>130</v>
      </c>
      <c r="C9" s="754" t="s">
        <v>29</v>
      </c>
      <c r="D9" s="754" t="s">
        <v>130</v>
      </c>
      <c r="E9" s="754" t="s">
        <v>29</v>
      </c>
      <c r="F9" s="754" t="s">
        <v>130</v>
      </c>
      <c r="G9" s="754" t="s">
        <v>29</v>
      </c>
      <c r="H9" s="755" t="s">
        <v>26</v>
      </c>
    </row>
    <row r="10" spans="1:8" s="395" customFormat="1" ht="15" customHeight="1" x14ac:dyDescent="0.25">
      <c r="A10" s="558" t="s">
        <v>356</v>
      </c>
      <c r="B10" s="559">
        <v>13</v>
      </c>
      <c r="C10" s="76">
        <v>232</v>
      </c>
      <c r="D10" s="559">
        <v>12</v>
      </c>
      <c r="E10" s="76">
        <v>283</v>
      </c>
      <c r="F10" s="559">
        <f>B10+D10</f>
        <v>25</v>
      </c>
      <c r="G10" s="76">
        <f>C10+E10</f>
        <v>515</v>
      </c>
      <c r="H10" s="560" t="s">
        <v>357</v>
      </c>
    </row>
    <row r="11" spans="1:8" s="289" customFormat="1" ht="15" customHeight="1" x14ac:dyDescent="0.25">
      <c r="A11" s="679" t="s">
        <v>30</v>
      </c>
      <c r="B11" s="680">
        <v>3</v>
      </c>
      <c r="C11" s="153">
        <v>32</v>
      </c>
      <c r="D11" s="680">
        <v>36</v>
      </c>
      <c r="E11" s="153">
        <f>D11*20</f>
        <v>720</v>
      </c>
      <c r="F11" s="680">
        <f t="shared" ref="F11:F24" si="0">B11+D11</f>
        <v>39</v>
      </c>
      <c r="G11" s="153">
        <f t="shared" ref="G11:G24" si="1">C11+E11</f>
        <v>752</v>
      </c>
      <c r="H11" s="681" t="s">
        <v>31</v>
      </c>
    </row>
    <row r="12" spans="1:8" s="289" customFormat="1" ht="15" customHeight="1" x14ac:dyDescent="0.25">
      <c r="A12" s="561" t="s">
        <v>3</v>
      </c>
      <c r="B12" s="559">
        <v>19</v>
      </c>
      <c r="C12" s="76">
        <v>457</v>
      </c>
      <c r="D12" s="559">
        <v>47</v>
      </c>
      <c r="E12" s="76">
        <v>962</v>
      </c>
      <c r="F12" s="559">
        <f t="shared" si="0"/>
        <v>66</v>
      </c>
      <c r="G12" s="76">
        <f t="shared" si="1"/>
        <v>1419</v>
      </c>
      <c r="H12" s="562" t="s">
        <v>15</v>
      </c>
    </row>
    <row r="13" spans="1:8" s="289" customFormat="1" ht="15" customHeight="1" x14ac:dyDescent="0.25">
      <c r="A13" s="679" t="s">
        <v>342</v>
      </c>
      <c r="B13" s="680">
        <v>10</v>
      </c>
      <c r="C13" s="153">
        <f>B13*16</f>
        <v>160</v>
      </c>
      <c r="D13" s="680">
        <v>16</v>
      </c>
      <c r="E13" s="153">
        <v>406</v>
      </c>
      <c r="F13" s="680">
        <f t="shared" si="0"/>
        <v>26</v>
      </c>
      <c r="G13" s="153">
        <f t="shared" si="1"/>
        <v>566</v>
      </c>
      <c r="H13" s="681" t="s">
        <v>337</v>
      </c>
    </row>
    <row r="14" spans="1:8" s="289" customFormat="1" ht="15" customHeight="1" x14ac:dyDescent="0.25">
      <c r="A14" s="561" t="s">
        <v>4</v>
      </c>
      <c r="B14" s="559">
        <v>364</v>
      </c>
      <c r="C14" s="76">
        <v>7717</v>
      </c>
      <c r="D14" s="559">
        <v>380</v>
      </c>
      <c r="E14" s="76">
        <v>9036</v>
      </c>
      <c r="F14" s="559">
        <f t="shared" si="0"/>
        <v>744</v>
      </c>
      <c r="G14" s="76">
        <f t="shared" si="1"/>
        <v>16753</v>
      </c>
      <c r="H14" s="562" t="s">
        <v>16</v>
      </c>
    </row>
    <row r="15" spans="1:8" s="289" customFormat="1" ht="15" customHeight="1" x14ac:dyDescent="0.25">
      <c r="A15" s="682" t="s">
        <v>5</v>
      </c>
      <c r="B15" s="680">
        <v>34</v>
      </c>
      <c r="C15" s="153">
        <v>347</v>
      </c>
      <c r="D15" s="680">
        <v>44</v>
      </c>
      <c r="E15" s="153">
        <v>915</v>
      </c>
      <c r="F15" s="680">
        <f t="shared" si="0"/>
        <v>78</v>
      </c>
      <c r="G15" s="153">
        <f t="shared" si="1"/>
        <v>1262</v>
      </c>
      <c r="H15" s="683" t="s">
        <v>23</v>
      </c>
    </row>
    <row r="16" spans="1:8" s="289" customFormat="1" ht="15" customHeight="1" x14ac:dyDescent="0.25">
      <c r="A16" s="561" t="s">
        <v>6</v>
      </c>
      <c r="B16" s="559">
        <v>0</v>
      </c>
      <c r="C16" s="76">
        <v>0</v>
      </c>
      <c r="D16" s="559">
        <v>45</v>
      </c>
      <c r="E16" s="76">
        <v>883</v>
      </c>
      <c r="F16" s="559">
        <f t="shared" si="0"/>
        <v>45</v>
      </c>
      <c r="G16" s="76">
        <f t="shared" si="1"/>
        <v>883</v>
      </c>
      <c r="H16" s="562" t="s">
        <v>24</v>
      </c>
    </row>
    <row r="17" spans="1:8" s="289" customFormat="1" ht="15" customHeight="1" x14ac:dyDescent="0.25">
      <c r="A17" s="682" t="s">
        <v>11</v>
      </c>
      <c r="B17" s="680">
        <v>6</v>
      </c>
      <c r="C17" s="153">
        <v>82</v>
      </c>
      <c r="D17" s="680">
        <v>23</v>
      </c>
      <c r="E17" s="153">
        <v>353</v>
      </c>
      <c r="F17" s="680">
        <f t="shared" si="0"/>
        <v>29</v>
      </c>
      <c r="G17" s="153">
        <f t="shared" si="1"/>
        <v>435</v>
      </c>
      <c r="H17" s="683" t="s">
        <v>21</v>
      </c>
    </row>
    <row r="18" spans="1:8" s="289" customFormat="1" ht="15" customHeight="1" x14ac:dyDescent="0.25">
      <c r="A18" s="561" t="s">
        <v>2</v>
      </c>
      <c r="B18" s="559">
        <v>13</v>
      </c>
      <c r="C18" s="76">
        <v>175</v>
      </c>
      <c r="D18" s="559">
        <v>7</v>
      </c>
      <c r="E18" s="76">
        <f>D18*20</f>
        <v>140</v>
      </c>
      <c r="F18" s="559">
        <f t="shared" si="0"/>
        <v>20</v>
      </c>
      <c r="G18" s="76">
        <f t="shared" si="1"/>
        <v>315</v>
      </c>
      <c r="H18" s="562" t="s">
        <v>14</v>
      </c>
    </row>
    <row r="19" spans="1:8" s="289" customFormat="1" ht="15" customHeight="1" x14ac:dyDescent="0.25">
      <c r="A19" s="682" t="s">
        <v>7</v>
      </c>
      <c r="B19" s="680">
        <v>40</v>
      </c>
      <c r="C19" s="153">
        <v>1090</v>
      </c>
      <c r="D19" s="680">
        <v>61</v>
      </c>
      <c r="E19" s="153">
        <v>1235</v>
      </c>
      <c r="F19" s="680">
        <f t="shared" si="0"/>
        <v>101</v>
      </c>
      <c r="G19" s="153">
        <f t="shared" si="1"/>
        <v>2325</v>
      </c>
      <c r="H19" s="683" t="s">
        <v>17</v>
      </c>
    </row>
    <row r="20" spans="1:8" s="289" customFormat="1" ht="15" customHeight="1" x14ac:dyDescent="0.25">
      <c r="A20" s="561" t="s">
        <v>8</v>
      </c>
      <c r="B20" s="559">
        <v>2</v>
      </c>
      <c r="C20" s="76">
        <f>B20*10</f>
        <v>20</v>
      </c>
      <c r="D20" s="559">
        <v>52</v>
      </c>
      <c r="E20" s="76">
        <v>1075</v>
      </c>
      <c r="F20" s="559">
        <f t="shared" si="0"/>
        <v>54</v>
      </c>
      <c r="G20" s="76">
        <f t="shared" si="1"/>
        <v>1095</v>
      </c>
      <c r="H20" s="562" t="s">
        <v>18</v>
      </c>
    </row>
    <row r="21" spans="1:8" s="289" customFormat="1" ht="15" customHeight="1" x14ac:dyDescent="0.25">
      <c r="A21" s="682" t="s">
        <v>9</v>
      </c>
      <c r="B21" s="680">
        <v>8</v>
      </c>
      <c r="C21" s="153">
        <v>72</v>
      </c>
      <c r="D21" s="680">
        <v>41</v>
      </c>
      <c r="E21" s="153">
        <v>830</v>
      </c>
      <c r="F21" s="680">
        <f t="shared" si="0"/>
        <v>49</v>
      </c>
      <c r="G21" s="153">
        <f t="shared" si="1"/>
        <v>902</v>
      </c>
      <c r="H21" s="683" t="s">
        <v>19</v>
      </c>
    </row>
    <row r="22" spans="1:8" s="289" customFormat="1" ht="15" customHeight="1" x14ac:dyDescent="0.25">
      <c r="A22" s="561" t="s">
        <v>10</v>
      </c>
      <c r="B22" s="559">
        <v>25</v>
      </c>
      <c r="C22" s="76">
        <f>B22*16</f>
        <v>400</v>
      </c>
      <c r="D22" s="559">
        <v>42</v>
      </c>
      <c r="E22" s="76">
        <v>638</v>
      </c>
      <c r="F22" s="559">
        <f t="shared" si="0"/>
        <v>67</v>
      </c>
      <c r="G22" s="76">
        <f t="shared" si="1"/>
        <v>1038</v>
      </c>
      <c r="H22" s="562" t="s">
        <v>20</v>
      </c>
    </row>
    <row r="23" spans="1:8" s="289" customFormat="1" ht="15" customHeight="1" x14ac:dyDescent="0.25">
      <c r="A23" s="682" t="s">
        <v>12</v>
      </c>
      <c r="B23" s="680">
        <v>4</v>
      </c>
      <c r="C23" s="153">
        <f>B23*16</f>
        <v>64</v>
      </c>
      <c r="D23" s="680">
        <v>14</v>
      </c>
      <c r="E23" s="153">
        <v>171</v>
      </c>
      <c r="F23" s="680">
        <f t="shared" si="0"/>
        <v>18</v>
      </c>
      <c r="G23" s="153">
        <f t="shared" si="1"/>
        <v>235</v>
      </c>
      <c r="H23" s="683" t="s">
        <v>25</v>
      </c>
    </row>
    <row r="24" spans="1:8" s="289" customFormat="1" ht="15" customHeight="1" thickBot="1" x14ac:dyDescent="0.3">
      <c r="A24" s="561" t="s">
        <v>13</v>
      </c>
      <c r="B24" s="559">
        <v>0</v>
      </c>
      <c r="C24" s="76">
        <v>0</v>
      </c>
      <c r="D24" s="559">
        <v>50</v>
      </c>
      <c r="E24" s="76">
        <v>654</v>
      </c>
      <c r="F24" s="559">
        <f t="shared" si="0"/>
        <v>50</v>
      </c>
      <c r="G24" s="76">
        <f t="shared" si="1"/>
        <v>654</v>
      </c>
      <c r="H24" s="562" t="s">
        <v>22</v>
      </c>
    </row>
    <row r="25" spans="1:8" s="395" customFormat="1" ht="19.5" customHeight="1" thickTop="1" thickBot="1" x14ac:dyDescent="0.3">
      <c r="A25" s="756" t="s">
        <v>0</v>
      </c>
      <c r="B25" s="757">
        <f t="shared" ref="B25:G25" si="2">SUM(B10:B24)</f>
        <v>541</v>
      </c>
      <c r="C25" s="757">
        <f>SUM(C10:C24)</f>
        <v>10848</v>
      </c>
      <c r="D25" s="757">
        <f t="shared" si="2"/>
        <v>870</v>
      </c>
      <c r="E25" s="757">
        <f>SUM(E10:E24)</f>
        <v>18301</v>
      </c>
      <c r="F25" s="757">
        <f t="shared" si="2"/>
        <v>1411</v>
      </c>
      <c r="G25" s="758">
        <f t="shared" si="2"/>
        <v>29149</v>
      </c>
      <c r="H25" s="756" t="s">
        <v>1</v>
      </c>
    </row>
    <row r="26" spans="1:8" ht="15.75" thickTop="1" x14ac:dyDescent="0.2">
      <c r="A26" s="948"/>
      <c r="B26" s="948"/>
      <c r="C26" s="948"/>
      <c r="D26" s="948"/>
      <c r="E26" s="948"/>
      <c r="F26" s="948"/>
      <c r="G26" s="948"/>
      <c r="H26" s="948"/>
    </row>
    <row r="27" spans="1:8" ht="13.5" customHeight="1" x14ac:dyDescent="0.2"/>
  </sheetData>
  <mergeCells count="5">
    <mergeCell ref="G4:H4"/>
    <mergeCell ref="A1:H1"/>
    <mergeCell ref="A2:H3"/>
    <mergeCell ref="A5:B5"/>
    <mergeCell ref="A26:H26"/>
  </mergeCells>
  <phoneticPr fontId="3" type="noConversion"/>
  <printOptions horizontalCentered="1" verticalCentered="1"/>
  <pageMargins left="0.74803149606299202" right="1.07" top="0" bottom="0.98425196850393704" header="0.78740157480314998" footer="0.511811023622047"/>
  <pageSetup orientation="landscape" verticalDpi="300" r:id="rId1"/>
  <headerFooter alignWithMargins="0">
    <oddFooter>&amp;C30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28"/>
  <sheetViews>
    <sheetView rightToLeft="1" zoomScaleSheetLayoutView="98" workbookViewId="0">
      <selection activeCell="L25" sqref="L25"/>
    </sheetView>
  </sheetViews>
  <sheetFormatPr defaultRowHeight="12.75" x14ac:dyDescent="0.2"/>
  <cols>
    <col min="1" max="1" width="11.28515625" customWidth="1"/>
    <col min="2" max="2" width="11.140625" customWidth="1"/>
    <col min="3" max="3" width="15" customWidth="1"/>
    <col min="4" max="4" width="10.140625" bestFit="1" customWidth="1"/>
    <col min="5" max="5" width="13.28515625" customWidth="1"/>
    <col min="6" max="6" width="11.7109375" customWidth="1"/>
    <col min="7" max="7" width="15.42578125" customWidth="1"/>
    <col min="8" max="8" width="14.28515625" customWidth="1"/>
    <col min="9" max="9" width="1.140625" customWidth="1"/>
    <col min="10" max="10" width="2.5703125" customWidth="1"/>
  </cols>
  <sheetData>
    <row r="1" spans="1:41" ht="21" customHeight="1" x14ac:dyDescent="0.2">
      <c r="A1" s="964" t="s">
        <v>431</v>
      </c>
      <c r="B1" s="964"/>
      <c r="C1" s="964"/>
      <c r="D1" s="964"/>
      <c r="E1" s="964"/>
      <c r="F1" s="964"/>
      <c r="G1" s="964"/>
      <c r="H1" s="964"/>
    </row>
    <row r="2" spans="1:41" ht="15" customHeight="1" x14ac:dyDescent="0.2">
      <c r="A2" s="966" t="s">
        <v>433</v>
      </c>
      <c r="B2" s="966"/>
      <c r="C2" s="966"/>
      <c r="D2" s="966"/>
      <c r="E2" s="966"/>
      <c r="F2" s="966"/>
      <c r="G2" s="966"/>
      <c r="H2" s="966"/>
    </row>
    <row r="3" spans="1:41" ht="8.25" customHeight="1" x14ac:dyDescent="0.2">
      <c r="A3" s="966"/>
      <c r="B3" s="966"/>
      <c r="C3" s="966"/>
      <c r="D3" s="966"/>
      <c r="E3" s="966"/>
      <c r="F3" s="966"/>
      <c r="G3" s="966"/>
      <c r="H3" s="96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20.25" customHeight="1" x14ac:dyDescent="0.25">
      <c r="A4" s="85"/>
      <c r="B4" s="85"/>
      <c r="C4" s="85"/>
      <c r="D4" s="85"/>
      <c r="E4" s="85"/>
      <c r="F4" s="85"/>
      <c r="G4" s="926" t="s">
        <v>477</v>
      </c>
      <c r="H4" s="9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8.25" customHeight="1" x14ac:dyDescent="0.2">
      <c r="A5" s="85"/>
      <c r="B5" s="85"/>
      <c r="C5" s="85"/>
      <c r="D5" s="85"/>
      <c r="E5" s="85"/>
      <c r="F5" s="85"/>
      <c r="G5" s="85"/>
      <c r="H5" s="8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21.75" customHeight="1" thickBot="1" x14ac:dyDescent="0.3">
      <c r="A6" s="965" t="s">
        <v>486</v>
      </c>
      <c r="B6" s="965"/>
      <c r="C6" s="81" t="s">
        <v>179</v>
      </c>
      <c r="D6" s="82"/>
      <c r="E6" s="24"/>
      <c r="F6" s="82"/>
      <c r="G6" s="83" t="s">
        <v>267</v>
      </c>
      <c r="H6" s="84" t="s">
        <v>320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15" customHeight="1" x14ac:dyDescent="0.2">
      <c r="A7" s="87"/>
      <c r="B7" s="88" t="s">
        <v>44</v>
      </c>
      <c r="C7" s="89"/>
      <c r="D7" s="88" t="s">
        <v>199</v>
      </c>
      <c r="E7" s="89"/>
      <c r="F7" s="88" t="s">
        <v>0</v>
      </c>
      <c r="G7" s="89"/>
      <c r="H7" s="9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15" customHeight="1" x14ac:dyDescent="0.2">
      <c r="A8" s="85"/>
      <c r="B8" s="85" t="s">
        <v>164</v>
      </c>
      <c r="C8" s="85"/>
      <c r="D8" s="85" t="s">
        <v>298</v>
      </c>
      <c r="E8" s="85"/>
      <c r="F8" s="164" t="s">
        <v>1</v>
      </c>
      <c r="G8" s="85"/>
      <c r="H8" s="86"/>
    </row>
    <row r="9" spans="1:41" s="151" customFormat="1" ht="12" customHeight="1" thickBot="1" x14ac:dyDescent="0.3">
      <c r="A9" s="155"/>
      <c r="B9" s="333" t="s">
        <v>193</v>
      </c>
      <c r="C9" s="333" t="s">
        <v>224</v>
      </c>
      <c r="D9" s="333" t="s">
        <v>193</v>
      </c>
      <c r="E9" s="333" t="s">
        <v>224</v>
      </c>
      <c r="F9" s="333" t="s">
        <v>193</v>
      </c>
      <c r="G9" s="333" t="s">
        <v>224</v>
      </c>
      <c r="H9" s="334"/>
    </row>
    <row r="10" spans="1:41" s="325" customFormat="1" ht="16.5" customHeight="1" thickBot="1" x14ac:dyDescent="0.25">
      <c r="A10" s="335" t="s">
        <v>54</v>
      </c>
      <c r="B10" s="336" t="s">
        <v>130</v>
      </c>
      <c r="C10" s="337" t="s">
        <v>29</v>
      </c>
      <c r="D10" s="336" t="s">
        <v>130</v>
      </c>
      <c r="E10" s="337" t="s">
        <v>29</v>
      </c>
      <c r="F10" s="336" t="s">
        <v>130</v>
      </c>
      <c r="G10" s="337" t="s">
        <v>29</v>
      </c>
      <c r="H10" s="338" t="s">
        <v>26</v>
      </c>
    </row>
    <row r="11" spans="1:41" s="395" customFormat="1" ht="15" customHeight="1" x14ac:dyDescent="0.25">
      <c r="A11" s="563" t="s">
        <v>356</v>
      </c>
      <c r="B11" s="564">
        <v>13848</v>
      </c>
      <c r="C11" s="76">
        <f>B11*13</f>
        <v>180024</v>
      </c>
      <c r="D11" s="564">
        <v>7135</v>
      </c>
      <c r="E11" s="76">
        <f>D11*11</f>
        <v>78485</v>
      </c>
      <c r="F11" s="564">
        <f>B11+D11</f>
        <v>20983</v>
      </c>
      <c r="G11" s="76">
        <f>C11+E11</f>
        <v>258509</v>
      </c>
      <c r="H11" s="560" t="s">
        <v>357</v>
      </c>
    </row>
    <row r="12" spans="1:41" s="395" customFormat="1" ht="15" customHeight="1" x14ac:dyDescent="0.25">
      <c r="A12" s="706" t="s">
        <v>30</v>
      </c>
      <c r="B12" s="567">
        <v>5089</v>
      </c>
      <c r="C12" s="153">
        <f>B12*11</f>
        <v>55979</v>
      </c>
      <c r="D12" s="567">
        <v>30307</v>
      </c>
      <c r="E12" s="153">
        <f>D12*13</f>
        <v>393991</v>
      </c>
      <c r="F12" s="567">
        <f t="shared" ref="F12:F25" si="0">B12+D12</f>
        <v>35396</v>
      </c>
      <c r="G12" s="153">
        <f t="shared" ref="G12:G25" si="1">C12+E12</f>
        <v>449970</v>
      </c>
      <c r="H12" s="707" t="s">
        <v>31</v>
      </c>
    </row>
    <row r="13" spans="1:41" s="289" customFormat="1" ht="15" customHeight="1" x14ac:dyDescent="0.25">
      <c r="A13" s="565" t="s">
        <v>3</v>
      </c>
      <c r="B13" s="564">
        <v>23778</v>
      </c>
      <c r="C13" s="76">
        <f>B13*21</f>
        <v>499338</v>
      </c>
      <c r="D13" s="564">
        <v>35020</v>
      </c>
      <c r="E13" s="76">
        <f>D13*20</f>
        <v>700400</v>
      </c>
      <c r="F13" s="564">
        <f t="shared" si="0"/>
        <v>58798</v>
      </c>
      <c r="G13" s="76">
        <f t="shared" si="1"/>
        <v>1199738</v>
      </c>
      <c r="H13" s="560" t="s">
        <v>15</v>
      </c>
    </row>
    <row r="14" spans="1:41" s="289" customFormat="1" ht="15" customHeight="1" x14ac:dyDescent="0.25">
      <c r="A14" s="706" t="s">
        <v>342</v>
      </c>
      <c r="B14" s="567">
        <v>15167</v>
      </c>
      <c r="C14" s="153">
        <f>B14*21</f>
        <v>318507</v>
      </c>
      <c r="D14" s="567">
        <v>7893</v>
      </c>
      <c r="E14" s="153">
        <f>D14*30</f>
        <v>236790</v>
      </c>
      <c r="F14" s="567">
        <f t="shared" si="0"/>
        <v>23060</v>
      </c>
      <c r="G14" s="153">
        <f t="shared" si="1"/>
        <v>555297</v>
      </c>
      <c r="H14" s="707" t="s">
        <v>337</v>
      </c>
    </row>
    <row r="15" spans="1:41" s="289" customFormat="1" ht="15" customHeight="1" x14ac:dyDescent="0.25">
      <c r="A15" s="565" t="s">
        <v>4</v>
      </c>
      <c r="B15" s="564">
        <v>248590</v>
      </c>
      <c r="C15" s="76">
        <f>B15*23</f>
        <v>5717570</v>
      </c>
      <c r="D15" s="564">
        <v>118994</v>
      </c>
      <c r="E15" s="76">
        <f>D15*25</f>
        <v>2974850</v>
      </c>
      <c r="F15" s="564">
        <f t="shared" si="0"/>
        <v>367584</v>
      </c>
      <c r="G15" s="76">
        <f t="shared" si="1"/>
        <v>8692420</v>
      </c>
      <c r="H15" s="560" t="s">
        <v>16</v>
      </c>
    </row>
    <row r="16" spans="1:41" s="289" customFormat="1" ht="15" customHeight="1" x14ac:dyDescent="0.25">
      <c r="A16" s="566" t="s">
        <v>5</v>
      </c>
      <c r="B16" s="567">
        <v>26699</v>
      </c>
      <c r="C16" s="153">
        <f>B16*14</f>
        <v>373786</v>
      </c>
      <c r="D16" s="567">
        <v>19684</v>
      </c>
      <c r="E16" s="153">
        <f>D16*18</f>
        <v>354312</v>
      </c>
      <c r="F16" s="567">
        <f t="shared" si="0"/>
        <v>46383</v>
      </c>
      <c r="G16" s="153">
        <f t="shared" si="1"/>
        <v>728098</v>
      </c>
      <c r="H16" s="568" t="s">
        <v>23</v>
      </c>
    </row>
    <row r="17" spans="1:8" s="289" customFormat="1" ht="15" customHeight="1" x14ac:dyDescent="0.25">
      <c r="A17" s="565" t="s">
        <v>6</v>
      </c>
      <c r="B17" s="564">
        <v>33264</v>
      </c>
      <c r="C17" s="76">
        <f>B17*23</f>
        <v>765072</v>
      </c>
      <c r="D17" s="564">
        <v>16646</v>
      </c>
      <c r="E17" s="76">
        <f>D17*25</f>
        <v>416150</v>
      </c>
      <c r="F17" s="564">
        <f t="shared" si="0"/>
        <v>49910</v>
      </c>
      <c r="G17" s="76">
        <f t="shared" si="1"/>
        <v>1181222</v>
      </c>
      <c r="H17" s="560" t="s">
        <v>24</v>
      </c>
    </row>
    <row r="18" spans="1:8" s="289" customFormat="1" ht="15" customHeight="1" x14ac:dyDescent="0.25">
      <c r="A18" s="566" t="s">
        <v>11</v>
      </c>
      <c r="B18" s="567">
        <v>13338</v>
      </c>
      <c r="C18" s="153">
        <f>B18*18</f>
        <v>240084</v>
      </c>
      <c r="D18" s="567">
        <v>6696</v>
      </c>
      <c r="E18" s="153">
        <f>D18*17</f>
        <v>113832</v>
      </c>
      <c r="F18" s="567">
        <f t="shared" si="0"/>
        <v>20034</v>
      </c>
      <c r="G18" s="153">
        <f t="shared" si="1"/>
        <v>353916</v>
      </c>
      <c r="H18" s="568" t="s">
        <v>21</v>
      </c>
    </row>
    <row r="19" spans="1:8" s="289" customFormat="1" ht="13.5" customHeight="1" x14ac:dyDescent="0.25">
      <c r="A19" s="565" t="s">
        <v>2</v>
      </c>
      <c r="B19" s="564">
        <v>10565</v>
      </c>
      <c r="C19" s="76">
        <f>B19*10</f>
        <v>105650</v>
      </c>
      <c r="D19" s="564">
        <v>10917</v>
      </c>
      <c r="E19" s="76">
        <f>D19*11</f>
        <v>120087</v>
      </c>
      <c r="F19" s="564">
        <f t="shared" si="0"/>
        <v>21482</v>
      </c>
      <c r="G19" s="76">
        <f t="shared" si="1"/>
        <v>225737</v>
      </c>
      <c r="H19" s="560" t="s">
        <v>14</v>
      </c>
    </row>
    <row r="20" spans="1:8" s="289" customFormat="1" ht="15" customHeight="1" x14ac:dyDescent="0.25">
      <c r="A20" s="566" t="s">
        <v>7</v>
      </c>
      <c r="B20" s="567">
        <v>38249</v>
      </c>
      <c r="C20" s="153">
        <f>B20*20</f>
        <v>764980</v>
      </c>
      <c r="D20" s="567">
        <v>37205</v>
      </c>
      <c r="E20" s="153">
        <f>D20*20</f>
        <v>744100</v>
      </c>
      <c r="F20" s="567">
        <f t="shared" si="0"/>
        <v>75454</v>
      </c>
      <c r="G20" s="153">
        <f t="shared" si="1"/>
        <v>1509080</v>
      </c>
      <c r="H20" s="568" t="s">
        <v>17</v>
      </c>
    </row>
    <row r="21" spans="1:8" s="289" customFormat="1" ht="15" customHeight="1" x14ac:dyDescent="0.25">
      <c r="A21" s="565" t="s">
        <v>8</v>
      </c>
      <c r="B21" s="564">
        <v>16542</v>
      </c>
      <c r="C21" s="76">
        <f>B21*18</f>
        <v>297756</v>
      </c>
      <c r="D21" s="564">
        <v>33843</v>
      </c>
      <c r="E21" s="76">
        <f>D21*21</f>
        <v>710703</v>
      </c>
      <c r="F21" s="564">
        <f t="shared" si="0"/>
        <v>50385</v>
      </c>
      <c r="G21" s="76">
        <f t="shared" si="1"/>
        <v>1008459</v>
      </c>
      <c r="H21" s="560" t="s">
        <v>18</v>
      </c>
    </row>
    <row r="22" spans="1:8" s="289" customFormat="1" ht="15" customHeight="1" x14ac:dyDescent="0.25">
      <c r="A22" s="566" t="s">
        <v>9</v>
      </c>
      <c r="B22" s="567">
        <v>18345</v>
      </c>
      <c r="C22" s="153">
        <f>B22*20</f>
        <v>366900</v>
      </c>
      <c r="D22" s="567">
        <v>11932</v>
      </c>
      <c r="E22" s="153">
        <f>D22*24</f>
        <v>286368</v>
      </c>
      <c r="F22" s="567">
        <f t="shared" si="0"/>
        <v>30277</v>
      </c>
      <c r="G22" s="153">
        <f t="shared" si="1"/>
        <v>653268</v>
      </c>
      <c r="H22" s="568" t="s">
        <v>19</v>
      </c>
    </row>
    <row r="23" spans="1:8" s="289" customFormat="1" ht="15" customHeight="1" x14ac:dyDescent="0.25">
      <c r="A23" s="565" t="s">
        <v>10</v>
      </c>
      <c r="B23" s="564">
        <v>17777</v>
      </c>
      <c r="C23" s="76">
        <f>B23*21</f>
        <v>373317</v>
      </c>
      <c r="D23" s="564">
        <v>6054</v>
      </c>
      <c r="E23" s="76">
        <f>D23*25</f>
        <v>151350</v>
      </c>
      <c r="F23" s="564">
        <f t="shared" si="0"/>
        <v>23831</v>
      </c>
      <c r="G23" s="76">
        <f t="shared" si="1"/>
        <v>524667</v>
      </c>
      <c r="H23" s="560" t="s">
        <v>20</v>
      </c>
    </row>
    <row r="24" spans="1:8" s="289" customFormat="1" ht="15" customHeight="1" x14ac:dyDescent="0.25">
      <c r="A24" s="566" t="s">
        <v>12</v>
      </c>
      <c r="B24" s="567">
        <v>4482</v>
      </c>
      <c r="C24" s="153">
        <f>B24*13</f>
        <v>58266</v>
      </c>
      <c r="D24" s="567">
        <v>1180</v>
      </c>
      <c r="E24" s="153">
        <f>D24*18</f>
        <v>21240</v>
      </c>
      <c r="F24" s="567">
        <f t="shared" si="0"/>
        <v>5662</v>
      </c>
      <c r="G24" s="153">
        <f t="shared" si="1"/>
        <v>79506</v>
      </c>
      <c r="H24" s="568" t="s">
        <v>25</v>
      </c>
    </row>
    <row r="25" spans="1:8" s="289" customFormat="1" ht="15" customHeight="1" thickBot="1" x14ac:dyDescent="0.3">
      <c r="A25" s="565" t="s">
        <v>13</v>
      </c>
      <c r="B25" s="564">
        <v>24107</v>
      </c>
      <c r="C25" s="76">
        <f>B25*22</f>
        <v>530354</v>
      </c>
      <c r="D25" s="564">
        <v>5304</v>
      </c>
      <c r="E25" s="76">
        <f>D25*29</f>
        <v>153816</v>
      </c>
      <c r="F25" s="564">
        <f t="shared" si="0"/>
        <v>29411</v>
      </c>
      <c r="G25" s="76">
        <f t="shared" si="1"/>
        <v>684170</v>
      </c>
      <c r="H25" s="560" t="s">
        <v>22</v>
      </c>
    </row>
    <row r="26" spans="1:8" s="395" customFormat="1" ht="17.25" customHeight="1" thickTop="1" thickBot="1" x14ac:dyDescent="0.3">
      <c r="A26" s="759" t="s">
        <v>0</v>
      </c>
      <c r="B26" s="760">
        <v>509840</v>
      </c>
      <c r="C26" s="760">
        <f>SUM(C11:C25)</f>
        <v>10647583</v>
      </c>
      <c r="D26" s="760">
        <v>348810</v>
      </c>
      <c r="E26" s="760">
        <f>SUM(E11:E25)</f>
        <v>7456474</v>
      </c>
      <c r="F26" s="760">
        <f>SUM(F11:F25)</f>
        <v>858650</v>
      </c>
      <c r="G26" s="758">
        <f>SUM(G11:G25)</f>
        <v>18104057</v>
      </c>
      <c r="H26" s="759" t="s">
        <v>1</v>
      </c>
    </row>
    <row r="27" spans="1:8" ht="15.75" thickTop="1" x14ac:dyDescent="0.2">
      <c r="A27" s="948"/>
      <c r="B27" s="948"/>
      <c r="C27" s="948"/>
      <c r="D27" s="948"/>
      <c r="E27" s="948"/>
      <c r="F27" s="948"/>
      <c r="G27" s="948"/>
      <c r="H27" s="948"/>
    </row>
    <row r="28" spans="1:8" ht="18.75" customHeight="1" x14ac:dyDescent="0.2"/>
  </sheetData>
  <mergeCells count="5">
    <mergeCell ref="G4:H4"/>
    <mergeCell ref="A1:H1"/>
    <mergeCell ref="A6:B6"/>
    <mergeCell ref="A27:H27"/>
    <mergeCell ref="A2:H3"/>
  </mergeCells>
  <phoneticPr fontId="3" type="noConversion"/>
  <printOptions horizontalCentered="1" verticalCentered="1"/>
  <pageMargins left="1.5" right="1.6" top="0.39" bottom="0.74" header="0.48" footer="0.511811023622047"/>
  <pageSetup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workbookViewId="0">
      <selection activeCell="T12" sqref="T12"/>
    </sheetView>
  </sheetViews>
  <sheetFormatPr defaultRowHeight="12.75" x14ac:dyDescent="0.2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/>
  <phoneticPr fontId="3" type="noConversion"/>
  <pageMargins left="0.75" right="0.85" top="0.96" bottom="1.29" header="1.47" footer="0.77"/>
  <pageSetup orientation="landscape" horizontalDpi="4294967293" verticalDpi="1200" r:id="rId1"/>
  <headerFooter alignWithMargins="0">
    <oddHeader>&amp;C&amp;P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OC33"/>
  <sheetViews>
    <sheetView rightToLeft="1" topLeftCell="D1" zoomScaleNormal="100" zoomScaleSheetLayoutView="100" workbookViewId="0">
      <selection activeCell="I28" sqref="I28"/>
    </sheetView>
  </sheetViews>
  <sheetFormatPr defaultRowHeight="12.75" x14ac:dyDescent="0.2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2.42578125" customWidth="1"/>
    <col min="8" max="9" width="12.140625" customWidth="1"/>
    <col min="10" max="10" width="12.5703125" customWidth="1"/>
    <col min="11" max="12" width="0.85546875" hidden="1" customWidth="1"/>
  </cols>
  <sheetData>
    <row r="1" spans="1:393" ht="15" x14ac:dyDescent="0.2">
      <c r="A1" s="903" t="s">
        <v>435</v>
      </c>
      <c r="B1" s="903"/>
      <c r="C1" s="903"/>
      <c r="D1" s="903"/>
      <c r="E1" s="903"/>
      <c r="F1" s="903"/>
      <c r="G1" s="903"/>
      <c r="H1" s="903"/>
      <c r="I1" s="903"/>
      <c r="J1" s="903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  <c r="IJ1" s="289"/>
      <c r="IK1" s="289"/>
      <c r="IL1" s="289"/>
      <c r="IM1" s="289"/>
      <c r="IN1" s="289"/>
      <c r="IO1" s="289"/>
      <c r="IP1" s="289"/>
      <c r="IQ1" s="289"/>
      <c r="IR1" s="289"/>
      <c r="IS1" s="289"/>
      <c r="IT1" s="289"/>
      <c r="IU1" s="289"/>
      <c r="IV1" s="289"/>
      <c r="IW1" s="289"/>
      <c r="IX1" s="289"/>
      <c r="IY1" s="289"/>
      <c r="IZ1" s="289"/>
      <c r="JA1" s="289"/>
      <c r="JB1" s="289"/>
      <c r="JC1" s="289"/>
      <c r="JD1" s="289"/>
      <c r="JE1" s="289"/>
      <c r="JF1" s="289"/>
      <c r="JG1" s="289"/>
      <c r="JH1" s="289"/>
      <c r="JI1" s="289"/>
      <c r="JJ1" s="289"/>
      <c r="JK1" s="289"/>
      <c r="JL1" s="289"/>
      <c r="JM1" s="289"/>
      <c r="JN1" s="289"/>
      <c r="JO1" s="289"/>
      <c r="JP1" s="289"/>
      <c r="JQ1" s="289"/>
      <c r="JR1" s="289"/>
      <c r="JS1" s="289"/>
      <c r="JT1" s="289"/>
      <c r="JU1" s="289"/>
      <c r="JV1" s="289"/>
      <c r="JW1" s="289"/>
      <c r="JX1" s="289"/>
      <c r="JY1" s="289"/>
      <c r="JZ1" s="289"/>
      <c r="KA1" s="289"/>
      <c r="KB1" s="289"/>
      <c r="KC1" s="289"/>
      <c r="KD1" s="289"/>
      <c r="KE1" s="289"/>
      <c r="KF1" s="289"/>
      <c r="KG1" s="289"/>
      <c r="KH1" s="289"/>
      <c r="KI1" s="289"/>
      <c r="KJ1" s="289"/>
      <c r="KK1" s="289"/>
      <c r="KL1" s="289"/>
      <c r="KM1" s="289"/>
      <c r="KN1" s="289"/>
      <c r="KO1" s="289"/>
      <c r="KP1" s="289"/>
      <c r="KQ1" s="289"/>
      <c r="KR1" s="289"/>
      <c r="KS1" s="289"/>
      <c r="KT1" s="289"/>
      <c r="KU1" s="289"/>
      <c r="KV1" s="289"/>
      <c r="KW1" s="289"/>
      <c r="KX1" s="289"/>
      <c r="KY1" s="289"/>
      <c r="KZ1" s="289"/>
      <c r="LA1" s="289"/>
      <c r="LB1" s="289"/>
      <c r="LC1" s="289"/>
      <c r="LD1" s="289"/>
      <c r="LE1" s="289"/>
      <c r="LF1" s="289"/>
      <c r="LG1" s="289"/>
      <c r="LH1" s="289"/>
      <c r="LI1" s="289"/>
      <c r="LJ1" s="289"/>
      <c r="LK1" s="289"/>
      <c r="LL1" s="289"/>
      <c r="LM1" s="289"/>
      <c r="LN1" s="289"/>
      <c r="LO1" s="289"/>
      <c r="LP1" s="289"/>
      <c r="LQ1" s="289"/>
      <c r="LR1" s="289"/>
      <c r="LS1" s="289"/>
      <c r="LT1" s="289"/>
      <c r="LU1" s="289"/>
      <c r="LV1" s="289"/>
      <c r="LW1" s="289"/>
      <c r="LX1" s="289"/>
      <c r="LY1" s="289"/>
      <c r="LZ1" s="289"/>
      <c r="MA1" s="289"/>
      <c r="MB1" s="289"/>
      <c r="MC1" s="289"/>
      <c r="MD1" s="289"/>
      <c r="ME1" s="289"/>
      <c r="MF1" s="289"/>
      <c r="MG1" s="289"/>
      <c r="MH1" s="289"/>
      <c r="MI1" s="289"/>
      <c r="MJ1" s="289"/>
      <c r="MK1" s="289"/>
      <c r="ML1" s="289"/>
      <c r="MM1" s="289"/>
      <c r="MN1" s="289"/>
      <c r="MO1" s="289"/>
      <c r="MP1" s="289"/>
      <c r="MQ1" s="289"/>
      <c r="MR1" s="289"/>
      <c r="MS1" s="289"/>
      <c r="MT1" s="289"/>
      <c r="MU1" s="289"/>
      <c r="MV1" s="289"/>
      <c r="MW1" s="289"/>
      <c r="MX1" s="289"/>
      <c r="MY1" s="289"/>
      <c r="MZ1" s="289"/>
      <c r="NA1" s="289"/>
      <c r="NB1" s="289"/>
      <c r="NC1" s="289"/>
      <c r="ND1" s="289"/>
      <c r="NE1" s="289"/>
      <c r="NF1" s="289"/>
      <c r="NG1" s="289"/>
      <c r="NH1" s="289"/>
      <c r="NI1" s="289"/>
      <c r="NJ1" s="289"/>
      <c r="NK1" s="289"/>
      <c r="NL1" s="289"/>
      <c r="NM1" s="289"/>
      <c r="NN1" s="289"/>
      <c r="NO1" s="289"/>
      <c r="NP1" s="289"/>
      <c r="NQ1" s="289"/>
      <c r="NR1" s="289"/>
      <c r="NS1" s="289"/>
      <c r="NT1" s="289"/>
      <c r="NU1" s="289"/>
      <c r="NV1" s="289"/>
      <c r="NW1" s="289"/>
      <c r="NX1" s="289"/>
      <c r="NY1" s="289"/>
      <c r="NZ1" s="289"/>
      <c r="OA1" s="289"/>
      <c r="OB1" s="289"/>
      <c r="OC1" s="289"/>
    </row>
    <row r="2" spans="1:393" ht="15" x14ac:dyDescent="0.2">
      <c r="A2" s="905" t="s">
        <v>436</v>
      </c>
      <c r="B2" s="905"/>
      <c r="C2" s="905"/>
      <c r="D2" s="905"/>
      <c r="E2" s="905"/>
      <c r="F2" s="905"/>
      <c r="G2" s="905"/>
      <c r="H2" s="905"/>
      <c r="I2" s="905"/>
      <c r="J2" s="905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  <c r="IJ2" s="289"/>
      <c r="IK2" s="289"/>
      <c r="IL2" s="289"/>
      <c r="IM2" s="289"/>
      <c r="IN2" s="289"/>
      <c r="IO2" s="289"/>
      <c r="IP2" s="289"/>
      <c r="IQ2" s="289"/>
      <c r="IR2" s="289"/>
      <c r="IS2" s="289"/>
      <c r="IT2" s="289"/>
      <c r="IU2" s="289"/>
      <c r="IV2" s="289"/>
      <c r="IW2" s="289"/>
      <c r="IX2" s="289"/>
      <c r="IY2" s="289"/>
      <c r="IZ2" s="289"/>
      <c r="JA2" s="289"/>
      <c r="JB2" s="289"/>
      <c r="JC2" s="289"/>
      <c r="JD2" s="289"/>
      <c r="JE2" s="289"/>
      <c r="JF2" s="289"/>
      <c r="JG2" s="289"/>
      <c r="JH2" s="289"/>
      <c r="JI2" s="289"/>
      <c r="JJ2" s="289"/>
      <c r="JK2" s="289"/>
      <c r="JL2" s="289"/>
      <c r="JM2" s="289"/>
      <c r="JN2" s="289"/>
      <c r="JO2" s="289"/>
      <c r="JP2" s="289"/>
      <c r="JQ2" s="289"/>
      <c r="JR2" s="289"/>
      <c r="JS2" s="289"/>
      <c r="JT2" s="289"/>
      <c r="JU2" s="289"/>
      <c r="JV2" s="289"/>
      <c r="JW2" s="289"/>
      <c r="JX2" s="289"/>
      <c r="JY2" s="289"/>
      <c r="JZ2" s="289"/>
      <c r="KA2" s="289"/>
      <c r="KB2" s="289"/>
      <c r="KC2" s="289"/>
      <c r="KD2" s="289"/>
      <c r="KE2" s="289"/>
      <c r="KF2" s="289"/>
      <c r="KG2" s="289"/>
      <c r="KH2" s="289"/>
      <c r="KI2" s="289"/>
      <c r="KJ2" s="289"/>
      <c r="KK2" s="289"/>
      <c r="KL2" s="289"/>
      <c r="KM2" s="289"/>
      <c r="KN2" s="289"/>
      <c r="KO2" s="289"/>
      <c r="KP2" s="289"/>
      <c r="KQ2" s="289"/>
      <c r="KR2" s="289"/>
      <c r="KS2" s="289"/>
      <c r="KT2" s="289"/>
      <c r="KU2" s="289"/>
      <c r="KV2" s="289"/>
      <c r="KW2" s="289"/>
      <c r="KX2" s="289"/>
      <c r="KY2" s="289"/>
      <c r="KZ2" s="289"/>
      <c r="LA2" s="289"/>
      <c r="LB2" s="289"/>
      <c r="LC2" s="289"/>
      <c r="LD2" s="289"/>
      <c r="LE2" s="289"/>
      <c r="LF2" s="289"/>
      <c r="LG2" s="289"/>
      <c r="LH2" s="289"/>
      <c r="LI2" s="289"/>
      <c r="LJ2" s="289"/>
      <c r="LK2" s="289"/>
      <c r="LL2" s="289"/>
      <c r="LM2" s="289"/>
      <c r="LN2" s="289"/>
      <c r="LO2" s="289"/>
      <c r="LP2" s="289"/>
      <c r="LQ2" s="289"/>
      <c r="LR2" s="289"/>
      <c r="LS2" s="289"/>
      <c r="LT2" s="289"/>
      <c r="LU2" s="289"/>
      <c r="LV2" s="289"/>
      <c r="LW2" s="289"/>
      <c r="LX2" s="289"/>
      <c r="LY2" s="289"/>
      <c r="LZ2" s="289"/>
      <c r="MA2" s="289"/>
      <c r="MB2" s="289"/>
      <c r="MC2" s="289"/>
      <c r="MD2" s="289"/>
      <c r="ME2" s="289"/>
      <c r="MF2" s="289"/>
      <c r="MG2" s="289"/>
      <c r="MH2" s="289"/>
      <c r="MI2" s="289"/>
      <c r="MJ2" s="289"/>
      <c r="MK2" s="289"/>
      <c r="ML2" s="289"/>
      <c r="MM2" s="289"/>
      <c r="MN2" s="289"/>
      <c r="MO2" s="289"/>
      <c r="MP2" s="289"/>
      <c r="MQ2" s="289"/>
      <c r="MR2" s="289"/>
      <c r="MS2" s="289"/>
      <c r="MT2" s="289"/>
      <c r="MU2" s="289"/>
      <c r="MV2" s="289"/>
      <c r="MW2" s="289"/>
      <c r="MX2" s="289"/>
      <c r="MY2" s="289"/>
      <c r="MZ2" s="289"/>
      <c r="NA2" s="289"/>
      <c r="NB2" s="289"/>
      <c r="NC2" s="289"/>
      <c r="ND2" s="289"/>
      <c r="NE2" s="289"/>
      <c r="NF2" s="289"/>
      <c r="NG2" s="289"/>
      <c r="NH2" s="289"/>
      <c r="NI2" s="289"/>
      <c r="NJ2" s="289"/>
      <c r="NK2" s="289"/>
      <c r="NL2" s="289"/>
      <c r="NM2" s="289"/>
      <c r="NN2" s="289"/>
      <c r="NO2" s="289"/>
      <c r="NP2" s="289"/>
      <c r="NQ2" s="289"/>
      <c r="NR2" s="289"/>
      <c r="NS2" s="289"/>
      <c r="NT2" s="289"/>
      <c r="NU2" s="289"/>
      <c r="NV2" s="289"/>
      <c r="NW2" s="289"/>
      <c r="NX2" s="289"/>
      <c r="NY2" s="289"/>
      <c r="NZ2" s="289"/>
      <c r="OA2" s="289"/>
      <c r="OB2" s="289"/>
      <c r="OC2" s="289"/>
    </row>
    <row r="3" spans="1:393" s="6" customFormat="1" ht="15" x14ac:dyDescent="0.2">
      <c r="A3" s="204"/>
      <c r="B3" s="204"/>
      <c r="C3" s="204"/>
      <c r="D3" s="204"/>
      <c r="E3" s="204"/>
      <c r="F3" s="204"/>
      <c r="G3" s="204"/>
      <c r="H3" s="204"/>
      <c r="I3" s="967" t="s">
        <v>477</v>
      </c>
      <c r="J3" s="967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  <c r="IJ3" s="289"/>
      <c r="IK3" s="289"/>
      <c r="IL3" s="289"/>
      <c r="IM3" s="289"/>
      <c r="IN3" s="289"/>
      <c r="IO3" s="289"/>
      <c r="IP3" s="289"/>
      <c r="IQ3" s="289"/>
      <c r="IR3" s="289"/>
      <c r="IS3" s="289"/>
      <c r="IT3" s="289"/>
      <c r="IU3" s="289"/>
      <c r="IV3" s="289"/>
      <c r="IW3" s="289"/>
      <c r="IX3" s="289"/>
      <c r="IY3" s="289"/>
      <c r="IZ3" s="289"/>
      <c r="JA3" s="289"/>
      <c r="JB3" s="289"/>
      <c r="JC3" s="289"/>
      <c r="JD3" s="289"/>
      <c r="JE3" s="289"/>
      <c r="JF3" s="289"/>
      <c r="JG3" s="289"/>
      <c r="JH3" s="289"/>
      <c r="JI3" s="289"/>
      <c r="JJ3" s="289"/>
      <c r="JK3" s="289"/>
      <c r="JL3" s="289"/>
      <c r="JM3" s="289"/>
      <c r="JN3" s="289"/>
      <c r="JO3" s="289"/>
      <c r="JP3" s="289"/>
      <c r="JQ3" s="289"/>
      <c r="JR3" s="289"/>
      <c r="JS3" s="289"/>
      <c r="JT3" s="289"/>
      <c r="JU3" s="289"/>
      <c r="JV3" s="289"/>
      <c r="JW3" s="289"/>
      <c r="JX3" s="289"/>
      <c r="JY3" s="289"/>
      <c r="JZ3" s="289"/>
      <c r="KA3" s="289"/>
      <c r="KB3" s="289"/>
      <c r="KC3" s="289"/>
      <c r="KD3" s="289"/>
      <c r="KE3" s="289"/>
      <c r="KF3" s="289"/>
      <c r="KG3" s="289"/>
      <c r="KH3" s="289"/>
      <c r="KI3" s="289"/>
      <c r="KJ3" s="289"/>
      <c r="KK3" s="289"/>
      <c r="KL3" s="289"/>
      <c r="KM3" s="289"/>
      <c r="KN3" s="289"/>
      <c r="KO3" s="289"/>
      <c r="KP3" s="289"/>
      <c r="KQ3" s="289"/>
      <c r="KR3" s="289"/>
      <c r="KS3" s="289"/>
      <c r="KT3" s="289"/>
      <c r="KU3" s="289"/>
      <c r="KV3" s="289"/>
      <c r="KW3" s="289"/>
      <c r="KX3" s="289"/>
      <c r="KY3" s="289"/>
      <c r="KZ3" s="289"/>
      <c r="LA3" s="289"/>
      <c r="LB3" s="289"/>
      <c r="LC3" s="289"/>
      <c r="LD3" s="289"/>
      <c r="LE3" s="289"/>
      <c r="LF3" s="289"/>
      <c r="LG3" s="289"/>
      <c r="LH3" s="289"/>
      <c r="LI3" s="289"/>
      <c r="LJ3" s="289"/>
      <c r="LK3" s="289"/>
      <c r="LL3" s="289"/>
      <c r="LM3" s="289"/>
      <c r="LN3" s="289"/>
      <c r="LO3" s="289"/>
      <c r="LP3" s="289"/>
      <c r="LQ3" s="289"/>
      <c r="LR3" s="289"/>
      <c r="LS3" s="289"/>
      <c r="LT3" s="289"/>
      <c r="LU3" s="289"/>
      <c r="LV3" s="289"/>
      <c r="LW3" s="289"/>
      <c r="LX3" s="289"/>
      <c r="LY3" s="289"/>
      <c r="LZ3" s="289"/>
      <c r="MA3" s="289"/>
      <c r="MB3" s="289"/>
      <c r="MC3" s="289"/>
      <c r="MD3" s="289"/>
      <c r="ME3" s="289"/>
      <c r="MF3" s="289"/>
      <c r="MG3" s="289"/>
      <c r="MH3" s="289"/>
      <c r="MI3" s="289"/>
      <c r="MJ3" s="289"/>
      <c r="MK3" s="289"/>
      <c r="ML3" s="289"/>
      <c r="MM3" s="289"/>
      <c r="MN3" s="289"/>
      <c r="MO3" s="289"/>
      <c r="MP3" s="289"/>
      <c r="MQ3" s="289"/>
      <c r="MR3" s="289"/>
      <c r="MS3" s="289"/>
      <c r="MT3" s="289"/>
      <c r="MU3" s="289"/>
      <c r="MV3" s="289"/>
      <c r="MW3" s="289"/>
      <c r="MX3" s="289"/>
      <c r="MY3" s="289"/>
      <c r="MZ3" s="289"/>
      <c r="NA3" s="289"/>
      <c r="NB3" s="289"/>
      <c r="NC3" s="289"/>
      <c r="ND3" s="289"/>
      <c r="NE3" s="289"/>
      <c r="NF3" s="289"/>
      <c r="NG3" s="289"/>
      <c r="NH3" s="289"/>
      <c r="NI3" s="289"/>
      <c r="NJ3" s="289"/>
      <c r="NK3" s="289"/>
      <c r="NL3" s="289"/>
      <c r="NM3" s="289"/>
      <c r="NN3" s="289"/>
      <c r="NO3" s="289"/>
      <c r="NP3" s="289"/>
      <c r="NQ3" s="289"/>
      <c r="NR3" s="289"/>
      <c r="NS3" s="289"/>
      <c r="NT3" s="289"/>
      <c r="NU3" s="289"/>
      <c r="NV3" s="289"/>
      <c r="NW3" s="289"/>
      <c r="NX3" s="289"/>
      <c r="NY3" s="289"/>
      <c r="NZ3" s="289"/>
      <c r="OA3" s="289"/>
      <c r="OB3" s="289"/>
      <c r="OC3" s="289"/>
    </row>
    <row r="4" spans="1:393" ht="17.25" customHeight="1" thickBot="1" x14ac:dyDescent="0.3">
      <c r="A4" s="968" t="s">
        <v>487</v>
      </c>
      <c r="B4" s="968"/>
      <c r="C4" s="968"/>
      <c r="D4" s="64"/>
      <c r="E4" s="64"/>
      <c r="F4" s="24"/>
      <c r="G4" s="64"/>
      <c r="H4" s="64" t="s">
        <v>191</v>
      </c>
      <c r="I4" s="933" t="s">
        <v>314</v>
      </c>
      <c r="J4" s="933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  <c r="IJ4" s="289"/>
      <c r="IK4" s="289"/>
      <c r="IL4" s="289"/>
      <c r="IM4" s="289"/>
      <c r="IN4" s="289"/>
      <c r="IO4" s="289"/>
      <c r="IP4" s="289"/>
      <c r="IQ4" s="289"/>
      <c r="IR4" s="289"/>
      <c r="IS4" s="289"/>
      <c r="IT4" s="289"/>
      <c r="IU4" s="289"/>
      <c r="IV4" s="289"/>
      <c r="IW4" s="289"/>
      <c r="IX4" s="289"/>
      <c r="IY4" s="289"/>
      <c r="IZ4" s="289"/>
      <c r="JA4" s="289"/>
      <c r="JB4" s="289"/>
      <c r="JC4" s="289"/>
      <c r="JD4" s="289"/>
      <c r="JE4" s="289"/>
      <c r="JF4" s="289"/>
      <c r="JG4" s="289"/>
      <c r="JH4" s="289"/>
      <c r="JI4" s="289"/>
      <c r="JJ4" s="289"/>
      <c r="JK4" s="289"/>
      <c r="JL4" s="289"/>
      <c r="JM4" s="289"/>
      <c r="JN4" s="289"/>
      <c r="JO4" s="289"/>
      <c r="JP4" s="289"/>
      <c r="JQ4" s="289"/>
      <c r="JR4" s="289"/>
      <c r="JS4" s="289"/>
      <c r="JT4" s="289"/>
      <c r="JU4" s="289"/>
      <c r="JV4" s="289"/>
      <c r="JW4" s="289"/>
      <c r="JX4" s="289"/>
      <c r="JY4" s="289"/>
      <c r="JZ4" s="289"/>
      <c r="KA4" s="289"/>
      <c r="KB4" s="289"/>
      <c r="KC4" s="289"/>
      <c r="KD4" s="289"/>
      <c r="KE4" s="289"/>
      <c r="KF4" s="289"/>
      <c r="KG4" s="289"/>
      <c r="KH4" s="289"/>
      <c r="KI4" s="289"/>
      <c r="KJ4" s="289"/>
      <c r="KK4" s="289"/>
      <c r="KL4" s="289"/>
      <c r="KM4" s="289"/>
      <c r="KN4" s="289"/>
      <c r="KO4" s="289"/>
      <c r="KP4" s="289"/>
      <c r="KQ4" s="289"/>
      <c r="KR4" s="289"/>
      <c r="KS4" s="289"/>
      <c r="KT4" s="289"/>
      <c r="KU4" s="289"/>
      <c r="KV4" s="289"/>
      <c r="KW4" s="289"/>
      <c r="KX4" s="289"/>
      <c r="KY4" s="289"/>
      <c r="KZ4" s="289"/>
      <c r="LA4" s="289"/>
      <c r="LB4" s="289"/>
      <c r="LC4" s="289"/>
      <c r="LD4" s="289"/>
      <c r="LE4" s="289"/>
      <c r="LF4" s="289"/>
      <c r="LG4" s="289"/>
      <c r="LH4" s="289"/>
      <c r="LI4" s="289"/>
      <c r="LJ4" s="289"/>
      <c r="LK4" s="289"/>
      <c r="LL4" s="289"/>
      <c r="LM4" s="289"/>
      <c r="LN4" s="289"/>
      <c r="LO4" s="289"/>
      <c r="LP4" s="289"/>
      <c r="LQ4" s="289"/>
      <c r="LR4" s="289"/>
      <c r="LS4" s="289"/>
      <c r="LT4" s="289"/>
      <c r="LU4" s="289"/>
      <c r="LV4" s="289"/>
      <c r="LW4" s="289"/>
      <c r="LX4" s="289"/>
      <c r="LY4" s="289"/>
      <c r="LZ4" s="289"/>
      <c r="MA4" s="289"/>
      <c r="MB4" s="289"/>
      <c r="MC4" s="289"/>
      <c r="MD4" s="289"/>
      <c r="ME4" s="289"/>
      <c r="MF4" s="289"/>
      <c r="MG4" s="289"/>
      <c r="MH4" s="289"/>
      <c r="MI4" s="289"/>
      <c r="MJ4" s="289"/>
      <c r="MK4" s="289"/>
      <c r="ML4" s="289"/>
      <c r="MM4" s="289"/>
      <c r="MN4" s="289"/>
      <c r="MO4" s="289"/>
      <c r="MP4" s="289"/>
      <c r="MQ4" s="289"/>
      <c r="MR4" s="289"/>
      <c r="MS4" s="289"/>
      <c r="MT4" s="289"/>
      <c r="MU4" s="289"/>
      <c r="MV4" s="289"/>
      <c r="MW4" s="289"/>
      <c r="MX4" s="289"/>
      <c r="MY4" s="289"/>
      <c r="MZ4" s="289"/>
      <c r="NA4" s="289"/>
      <c r="NB4" s="289"/>
      <c r="NC4" s="289"/>
      <c r="ND4" s="289"/>
      <c r="NE4" s="289"/>
      <c r="NF4" s="289"/>
      <c r="NG4" s="289"/>
      <c r="NH4" s="289"/>
      <c r="NI4" s="289"/>
      <c r="NJ4" s="289"/>
      <c r="NK4" s="289"/>
      <c r="NL4" s="289"/>
      <c r="NM4" s="289"/>
      <c r="NN4" s="289"/>
      <c r="NO4" s="289"/>
      <c r="NP4" s="289"/>
      <c r="NQ4" s="289"/>
      <c r="NR4" s="289"/>
      <c r="NS4" s="289"/>
      <c r="NT4" s="289"/>
      <c r="NU4" s="289"/>
      <c r="NV4" s="289"/>
      <c r="NW4" s="289"/>
      <c r="NX4" s="289"/>
      <c r="NY4" s="289"/>
      <c r="NZ4" s="289"/>
      <c r="OA4" s="289"/>
      <c r="OB4" s="289"/>
      <c r="OC4" s="289"/>
    </row>
    <row r="5" spans="1:393" ht="15" customHeight="1" x14ac:dyDescent="0.25">
      <c r="A5" s="8"/>
      <c r="B5" s="70" t="s">
        <v>44</v>
      </c>
      <c r="C5" s="70"/>
      <c r="D5" s="70" t="s">
        <v>108</v>
      </c>
      <c r="E5" s="70"/>
      <c r="F5" s="70" t="s">
        <v>109</v>
      </c>
      <c r="G5" s="70"/>
      <c r="H5" s="70" t="s">
        <v>0</v>
      </c>
      <c r="I5" s="111"/>
      <c r="J5" s="8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  <c r="IJ5" s="289"/>
      <c r="IK5" s="289"/>
      <c r="IL5" s="289"/>
      <c r="IM5" s="289"/>
      <c r="IN5" s="289"/>
      <c r="IO5" s="289"/>
      <c r="IP5" s="289"/>
      <c r="IQ5" s="289"/>
      <c r="IR5" s="289"/>
      <c r="IS5" s="289"/>
      <c r="IT5" s="289"/>
      <c r="IU5" s="289"/>
      <c r="IV5" s="289"/>
      <c r="IW5" s="289"/>
      <c r="IX5" s="289"/>
      <c r="IY5" s="289"/>
      <c r="IZ5" s="289"/>
      <c r="JA5" s="289"/>
      <c r="JB5" s="289"/>
      <c r="JC5" s="289"/>
      <c r="JD5" s="289"/>
      <c r="JE5" s="289"/>
      <c r="JF5" s="289"/>
      <c r="JG5" s="289"/>
      <c r="JH5" s="289"/>
      <c r="JI5" s="289"/>
      <c r="JJ5" s="289"/>
      <c r="JK5" s="289"/>
      <c r="JL5" s="289"/>
      <c r="JM5" s="289"/>
      <c r="JN5" s="289"/>
      <c r="JO5" s="289"/>
      <c r="JP5" s="289"/>
      <c r="JQ5" s="289"/>
      <c r="JR5" s="289"/>
      <c r="JS5" s="289"/>
      <c r="JT5" s="289"/>
      <c r="JU5" s="289"/>
      <c r="JV5" s="289"/>
      <c r="JW5" s="289"/>
      <c r="JX5" s="289"/>
      <c r="JY5" s="289"/>
      <c r="JZ5" s="289"/>
      <c r="KA5" s="289"/>
      <c r="KB5" s="289"/>
      <c r="KC5" s="289"/>
      <c r="KD5" s="289"/>
      <c r="KE5" s="289"/>
      <c r="KF5" s="289"/>
      <c r="KG5" s="289"/>
      <c r="KH5" s="289"/>
      <c r="KI5" s="289"/>
      <c r="KJ5" s="289"/>
      <c r="KK5" s="289"/>
      <c r="KL5" s="289"/>
      <c r="KM5" s="289"/>
      <c r="KN5" s="289"/>
      <c r="KO5" s="289"/>
      <c r="KP5" s="289"/>
      <c r="KQ5" s="289"/>
      <c r="KR5" s="289"/>
      <c r="KS5" s="289"/>
      <c r="KT5" s="289"/>
      <c r="KU5" s="289"/>
      <c r="KV5" s="289"/>
      <c r="KW5" s="289"/>
      <c r="KX5" s="289"/>
      <c r="KY5" s="289"/>
      <c r="KZ5" s="289"/>
      <c r="LA5" s="289"/>
      <c r="LB5" s="289"/>
      <c r="LC5" s="289"/>
      <c r="LD5" s="289"/>
      <c r="LE5" s="289"/>
      <c r="LF5" s="289"/>
      <c r="LG5" s="289"/>
      <c r="LH5" s="289"/>
      <c r="LI5" s="289"/>
      <c r="LJ5" s="289"/>
      <c r="LK5" s="289"/>
      <c r="LL5" s="289"/>
      <c r="LM5" s="289"/>
      <c r="LN5" s="289"/>
      <c r="LO5" s="289"/>
      <c r="LP5" s="289"/>
      <c r="LQ5" s="289"/>
      <c r="LR5" s="289"/>
      <c r="LS5" s="289"/>
      <c r="LT5" s="289"/>
      <c r="LU5" s="289"/>
      <c r="LV5" s="289"/>
      <c r="LW5" s="289"/>
      <c r="LX5" s="289"/>
      <c r="LY5" s="289"/>
      <c r="LZ5" s="289"/>
      <c r="MA5" s="289"/>
      <c r="MB5" s="289"/>
      <c r="MC5" s="289"/>
      <c r="MD5" s="289"/>
      <c r="ME5" s="289"/>
      <c r="MF5" s="289"/>
      <c r="MG5" s="289"/>
      <c r="MH5" s="289"/>
      <c r="MI5" s="289"/>
      <c r="MJ5" s="289"/>
      <c r="MK5" s="289"/>
      <c r="ML5" s="289"/>
      <c r="MM5" s="289"/>
      <c r="MN5" s="289"/>
      <c r="MO5" s="289"/>
      <c r="MP5" s="289"/>
      <c r="MQ5" s="289"/>
      <c r="MR5" s="289"/>
      <c r="MS5" s="289"/>
      <c r="MT5" s="289"/>
      <c r="MU5" s="289"/>
      <c r="MV5" s="289"/>
      <c r="MW5" s="289"/>
      <c r="MX5" s="289"/>
      <c r="MY5" s="289"/>
      <c r="MZ5" s="289"/>
      <c r="NA5" s="289"/>
      <c r="NB5" s="289"/>
      <c r="NC5" s="289"/>
      <c r="ND5" s="289"/>
      <c r="NE5" s="289"/>
      <c r="NF5" s="289"/>
      <c r="NG5" s="289"/>
      <c r="NH5" s="289"/>
      <c r="NI5" s="289"/>
      <c r="NJ5" s="289"/>
      <c r="NK5" s="289"/>
      <c r="NL5" s="289"/>
      <c r="NM5" s="289"/>
      <c r="NN5" s="289"/>
      <c r="NO5" s="289"/>
      <c r="NP5" s="289"/>
      <c r="NQ5" s="289"/>
      <c r="NR5" s="289"/>
      <c r="NS5" s="289"/>
      <c r="NT5" s="289"/>
      <c r="NU5" s="289"/>
      <c r="NV5" s="289"/>
      <c r="NW5" s="289"/>
      <c r="NX5" s="289"/>
      <c r="NY5" s="289"/>
      <c r="NZ5" s="289"/>
      <c r="OA5" s="289"/>
      <c r="OB5" s="289"/>
      <c r="OC5" s="289"/>
    </row>
    <row r="6" spans="1:393" ht="15" customHeight="1" x14ac:dyDescent="0.25">
      <c r="A6" s="18"/>
      <c r="B6" s="32" t="s">
        <v>164</v>
      </c>
      <c r="C6" s="32"/>
      <c r="D6" s="32" t="s">
        <v>247</v>
      </c>
      <c r="E6" s="32"/>
      <c r="F6" s="32" t="s">
        <v>292</v>
      </c>
      <c r="G6" s="32"/>
      <c r="H6" s="32" t="s">
        <v>1</v>
      </c>
      <c r="I6" s="32"/>
      <c r="J6" s="18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289"/>
      <c r="IK6" s="289"/>
      <c r="IL6" s="289"/>
      <c r="IM6" s="289"/>
      <c r="IN6" s="289"/>
      <c r="IO6" s="289"/>
      <c r="IP6" s="289"/>
      <c r="IQ6" s="289"/>
      <c r="IR6" s="289"/>
      <c r="IS6" s="289"/>
      <c r="IT6" s="289"/>
      <c r="IU6" s="289"/>
      <c r="IV6" s="289"/>
      <c r="IW6" s="289"/>
      <c r="IX6" s="289"/>
      <c r="IY6" s="289"/>
      <c r="IZ6" s="289"/>
      <c r="JA6" s="289"/>
      <c r="JB6" s="289"/>
      <c r="JC6" s="289"/>
      <c r="JD6" s="289"/>
      <c r="JE6" s="289"/>
      <c r="JF6" s="289"/>
      <c r="JG6" s="289"/>
      <c r="JH6" s="289"/>
      <c r="JI6" s="289"/>
      <c r="JJ6" s="289"/>
      <c r="JK6" s="289"/>
      <c r="JL6" s="289"/>
      <c r="JM6" s="289"/>
      <c r="JN6" s="289"/>
      <c r="JO6" s="289"/>
      <c r="JP6" s="289"/>
      <c r="JQ6" s="289"/>
      <c r="JR6" s="289"/>
      <c r="JS6" s="289"/>
      <c r="JT6" s="289"/>
      <c r="JU6" s="289"/>
      <c r="JV6" s="289"/>
      <c r="JW6" s="289"/>
      <c r="JX6" s="289"/>
      <c r="JY6" s="289"/>
      <c r="JZ6" s="289"/>
      <c r="KA6" s="289"/>
      <c r="KB6" s="289"/>
      <c r="KC6" s="289"/>
      <c r="KD6" s="289"/>
      <c r="KE6" s="289"/>
      <c r="KF6" s="289"/>
      <c r="KG6" s="289"/>
      <c r="KH6" s="289"/>
      <c r="KI6" s="289"/>
      <c r="KJ6" s="289"/>
      <c r="KK6" s="289"/>
      <c r="KL6" s="289"/>
      <c r="KM6" s="289"/>
      <c r="KN6" s="289"/>
      <c r="KO6" s="289"/>
      <c r="KP6" s="289"/>
      <c r="KQ6" s="289"/>
      <c r="KR6" s="289"/>
      <c r="KS6" s="289"/>
      <c r="KT6" s="289"/>
      <c r="KU6" s="289"/>
      <c r="KV6" s="289"/>
      <c r="KW6" s="289"/>
      <c r="KX6" s="289"/>
      <c r="KY6" s="289"/>
      <c r="KZ6" s="289"/>
      <c r="LA6" s="289"/>
      <c r="LB6" s="289"/>
      <c r="LC6" s="289"/>
      <c r="LD6" s="289"/>
      <c r="LE6" s="289"/>
      <c r="LF6" s="289"/>
      <c r="LG6" s="289"/>
      <c r="LH6" s="289"/>
      <c r="LI6" s="289"/>
      <c r="LJ6" s="289"/>
      <c r="LK6" s="289"/>
      <c r="LL6" s="289"/>
      <c r="LM6" s="289"/>
      <c r="LN6" s="289"/>
      <c r="LO6" s="289"/>
      <c r="LP6" s="289"/>
      <c r="LQ6" s="289"/>
      <c r="LR6" s="289"/>
      <c r="LS6" s="289"/>
      <c r="LT6" s="289"/>
      <c r="LU6" s="289"/>
      <c r="LV6" s="289"/>
      <c r="LW6" s="289"/>
      <c r="LX6" s="289"/>
      <c r="LY6" s="289"/>
      <c r="LZ6" s="289"/>
      <c r="MA6" s="289"/>
      <c r="MB6" s="289"/>
      <c r="MC6" s="289"/>
      <c r="MD6" s="289"/>
      <c r="ME6" s="289"/>
      <c r="MF6" s="289"/>
      <c r="MG6" s="289"/>
      <c r="MH6" s="289"/>
      <c r="MI6" s="289"/>
      <c r="MJ6" s="289"/>
      <c r="MK6" s="289"/>
      <c r="ML6" s="289"/>
      <c r="MM6" s="289"/>
      <c r="MN6" s="289"/>
      <c r="MO6" s="289"/>
      <c r="MP6" s="289"/>
      <c r="MQ6" s="289"/>
      <c r="MR6" s="289"/>
      <c r="MS6" s="289"/>
      <c r="MT6" s="289"/>
      <c r="MU6" s="289"/>
      <c r="MV6" s="289"/>
      <c r="MW6" s="289"/>
      <c r="MX6" s="289"/>
      <c r="MY6" s="289"/>
      <c r="MZ6" s="289"/>
      <c r="NA6" s="289"/>
      <c r="NB6" s="289"/>
      <c r="NC6" s="289"/>
      <c r="ND6" s="289"/>
      <c r="NE6" s="289"/>
      <c r="NF6" s="289"/>
      <c r="NG6" s="289"/>
      <c r="NH6" s="289"/>
      <c r="NI6" s="289"/>
      <c r="NJ6" s="289"/>
      <c r="NK6" s="289"/>
      <c r="NL6" s="289"/>
      <c r="NM6" s="289"/>
      <c r="NN6" s="289"/>
      <c r="NO6" s="289"/>
      <c r="NP6" s="289"/>
      <c r="NQ6" s="289"/>
      <c r="NR6" s="289"/>
      <c r="NS6" s="289"/>
      <c r="NT6" s="289"/>
      <c r="NU6" s="289"/>
      <c r="NV6" s="289"/>
      <c r="NW6" s="289"/>
      <c r="NX6" s="289"/>
      <c r="NY6" s="289"/>
      <c r="NZ6" s="289"/>
      <c r="OA6" s="289"/>
      <c r="OB6" s="289"/>
      <c r="OC6" s="289"/>
    </row>
    <row r="7" spans="1:393" s="151" customFormat="1" ht="15" customHeight="1" thickBot="1" x14ac:dyDescent="0.25">
      <c r="A7" s="53"/>
      <c r="B7" s="311" t="s">
        <v>36</v>
      </c>
      <c r="C7" s="311" t="s">
        <v>224</v>
      </c>
      <c r="D7" s="311" t="s">
        <v>36</v>
      </c>
      <c r="E7" s="310" t="s">
        <v>224</v>
      </c>
      <c r="F7" s="311" t="s">
        <v>36</v>
      </c>
      <c r="G7" s="311" t="s">
        <v>224</v>
      </c>
      <c r="H7" s="311" t="s">
        <v>36</v>
      </c>
      <c r="I7" s="311" t="s">
        <v>224</v>
      </c>
      <c r="J7" s="53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  <c r="IJ7" s="289"/>
      <c r="IK7" s="289"/>
      <c r="IL7" s="289"/>
      <c r="IM7" s="289"/>
      <c r="IN7" s="289"/>
      <c r="IO7" s="289"/>
      <c r="IP7" s="289"/>
      <c r="IQ7" s="289"/>
      <c r="IR7" s="289"/>
      <c r="IS7" s="289"/>
      <c r="IT7" s="289"/>
      <c r="IU7" s="289"/>
      <c r="IV7" s="289"/>
      <c r="IW7" s="289"/>
      <c r="IX7" s="289"/>
      <c r="IY7" s="289"/>
      <c r="IZ7" s="289"/>
      <c r="JA7" s="289"/>
      <c r="JB7" s="289"/>
      <c r="JC7" s="289"/>
      <c r="JD7" s="289"/>
      <c r="JE7" s="289"/>
      <c r="JF7" s="289"/>
      <c r="JG7" s="289"/>
      <c r="JH7" s="289"/>
      <c r="JI7" s="289"/>
      <c r="JJ7" s="289"/>
      <c r="JK7" s="289"/>
      <c r="JL7" s="289"/>
      <c r="JM7" s="289"/>
      <c r="JN7" s="289"/>
      <c r="JO7" s="289"/>
      <c r="JP7" s="289"/>
      <c r="JQ7" s="289"/>
      <c r="JR7" s="289"/>
      <c r="JS7" s="289"/>
      <c r="JT7" s="289"/>
      <c r="JU7" s="289"/>
      <c r="JV7" s="289"/>
      <c r="JW7" s="289"/>
      <c r="JX7" s="289"/>
      <c r="JY7" s="289"/>
      <c r="JZ7" s="289"/>
      <c r="KA7" s="289"/>
      <c r="KB7" s="289"/>
      <c r="KC7" s="289"/>
      <c r="KD7" s="289"/>
      <c r="KE7" s="289"/>
      <c r="KF7" s="289"/>
      <c r="KG7" s="289"/>
      <c r="KH7" s="289"/>
      <c r="KI7" s="289"/>
      <c r="KJ7" s="289"/>
      <c r="KK7" s="289"/>
      <c r="KL7" s="289"/>
      <c r="KM7" s="289"/>
      <c r="KN7" s="289"/>
      <c r="KO7" s="289"/>
      <c r="KP7" s="289"/>
      <c r="KQ7" s="289"/>
      <c r="KR7" s="289"/>
      <c r="KS7" s="289"/>
      <c r="KT7" s="289"/>
      <c r="KU7" s="289"/>
      <c r="KV7" s="289"/>
      <c r="KW7" s="289"/>
      <c r="KX7" s="289"/>
      <c r="KY7" s="289"/>
      <c r="KZ7" s="289"/>
      <c r="LA7" s="289"/>
      <c r="LB7" s="289"/>
      <c r="LC7" s="289"/>
      <c r="LD7" s="289"/>
      <c r="LE7" s="289"/>
      <c r="LF7" s="289"/>
      <c r="LG7" s="289"/>
      <c r="LH7" s="289"/>
      <c r="LI7" s="289"/>
      <c r="LJ7" s="289"/>
      <c r="LK7" s="289"/>
      <c r="LL7" s="289"/>
      <c r="LM7" s="289"/>
      <c r="LN7" s="289"/>
      <c r="LO7" s="289"/>
      <c r="LP7" s="289"/>
      <c r="LQ7" s="289"/>
      <c r="LR7" s="289"/>
      <c r="LS7" s="289"/>
      <c r="LT7" s="289"/>
      <c r="LU7" s="289"/>
      <c r="LV7" s="289"/>
      <c r="LW7" s="289"/>
      <c r="LX7" s="289"/>
      <c r="LY7" s="289"/>
      <c r="LZ7" s="289"/>
      <c r="MA7" s="289"/>
      <c r="MB7" s="289"/>
      <c r="MC7" s="289"/>
      <c r="MD7" s="289"/>
      <c r="ME7" s="289"/>
      <c r="MF7" s="289"/>
      <c r="MG7" s="289"/>
      <c r="MH7" s="289"/>
      <c r="MI7" s="289"/>
      <c r="MJ7" s="289"/>
      <c r="MK7" s="289"/>
      <c r="ML7" s="289"/>
      <c r="MM7" s="289"/>
      <c r="MN7" s="289"/>
      <c r="MO7" s="289"/>
      <c r="MP7" s="289"/>
      <c r="MQ7" s="289"/>
      <c r="MR7" s="289"/>
      <c r="MS7" s="289"/>
      <c r="MT7" s="289"/>
      <c r="MU7" s="289"/>
      <c r="MV7" s="289"/>
      <c r="MW7" s="289"/>
      <c r="MX7" s="289"/>
      <c r="MY7" s="289"/>
      <c r="MZ7" s="289"/>
      <c r="NA7" s="289"/>
      <c r="NB7" s="289"/>
      <c r="NC7" s="289"/>
      <c r="ND7" s="289"/>
      <c r="NE7" s="289"/>
      <c r="NF7" s="289"/>
      <c r="NG7" s="289"/>
      <c r="NH7" s="289"/>
      <c r="NI7" s="289"/>
      <c r="NJ7" s="289"/>
      <c r="NK7" s="289"/>
      <c r="NL7" s="289"/>
      <c r="NM7" s="289"/>
      <c r="NN7" s="289"/>
      <c r="NO7" s="289"/>
      <c r="NP7" s="289"/>
      <c r="NQ7" s="289"/>
      <c r="NR7" s="289"/>
      <c r="NS7" s="289"/>
      <c r="NT7" s="289"/>
      <c r="NU7" s="289"/>
      <c r="NV7" s="289"/>
      <c r="NW7" s="289"/>
      <c r="NX7" s="289"/>
      <c r="NY7" s="289"/>
      <c r="NZ7" s="289"/>
      <c r="OA7" s="289"/>
      <c r="OB7" s="289"/>
      <c r="OC7" s="289"/>
    </row>
    <row r="8" spans="1:393" s="325" customFormat="1" ht="15" customHeight="1" thickBot="1" x14ac:dyDescent="0.25">
      <c r="A8" s="345" t="s">
        <v>50</v>
      </c>
      <c r="B8" s="761" t="s">
        <v>153</v>
      </c>
      <c r="C8" s="761" t="s">
        <v>29</v>
      </c>
      <c r="D8" s="761" t="s">
        <v>153</v>
      </c>
      <c r="E8" s="761" t="s">
        <v>29</v>
      </c>
      <c r="F8" s="761" t="s">
        <v>153</v>
      </c>
      <c r="G8" s="761" t="s">
        <v>29</v>
      </c>
      <c r="H8" s="761" t="s">
        <v>153</v>
      </c>
      <c r="I8" s="761" t="s">
        <v>29</v>
      </c>
      <c r="J8" s="332" t="s">
        <v>26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395"/>
      <c r="BW8" s="395"/>
      <c r="BX8" s="395"/>
      <c r="BY8" s="395"/>
      <c r="BZ8" s="395"/>
      <c r="CA8" s="395"/>
      <c r="CB8" s="395"/>
      <c r="CC8" s="395"/>
      <c r="CD8" s="395"/>
      <c r="CE8" s="395"/>
      <c r="CF8" s="395"/>
      <c r="CG8" s="395"/>
      <c r="CH8" s="395"/>
      <c r="CI8" s="395"/>
      <c r="CJ8" s="395"/>
      <c r="CK8" s="395"/>
      <c r="CL8" s="395"/>
      <c r="CM8" s="395"/>
      <c r="CN8" s="395"/>
      <c r="CO8" s="395"/>
      <c r="CP8" s="395"/>
      <c r="CQ8" s="395"/>
      <c r="CR8" s="395"/>
      <c r="CS8" s="395"/>
      <c r="CT8" s="395"/>
      <c r="CU8" s="395"/>
      <c r="CV8" s="395"/>
      <c r="CW8" s="395"/>
      <c r="CX8" s="395"/>
      <c r="CY8" s="395"/>
      <c r="CZ8" s="395"/>
      <c r="DA8" s="395"/>
      <c r="DB8" s="395"/>
      <c r="DC8" s="395"/>
      <c r="DD8" s="395"/>
      <c r="DE8" s="395"/>
      <c r="DF8" s="395"/>
      <c r="DG8" s="395"/>
      <c r="DH8" s="395"/>
      <c r="DI8" s="395"/>
      <c r="DJ8" s="395"/>
      <c r="DK8" s="395"/>
      <c r="DL8" s="395"/>
      <c r="DM8" s="395"/>
      <c r="DN8" s="395"/>
      <c r="DO8" s="395"/>
      <c r="DP8" s="395"/>
      <c r="DQ8" s="395"/>
      <c r="DR8" s="395"/>
      <c r="DS8" s="395"/>
      <c r="DT8" s="395"/>
      <c r="DU8" s="395"/>
      <c r="DV8" s="395"/>
      <c r="DW8" s="395"/>
      <c r="DX8" s="395"/>
      <c r="DY8" s="395"/>
      <c r="DZ8" s="395"/>
      <c r="EA8" s="395"/>
      <c r="EB8" s="395"/>
      <c r="EC8" s="395"/>
      <c r="ED8" s="395"/>
      <c r="EE8" s="395"/>
      <c r="EF8" s="395"/>
      <c r="EG8" s="395"/>
      <c r="EH8" s="395"/>
      <c r="EI8" s="395"/>
      <c r="EJ8" s="395"/>
      <c r="EK8" s="395"/>
      <c r="EL8" s="395"/>
      <c r="EM8" s="395"/>
      <c r="EN8" s="395"/>
      <c r="EO8" s="395"/>
      <c r="EP8" s="395"/>
      <c r="EQ8" s="395"/>
      <c r="ER8" s="395"/>
      <c r="ES8" s="395"/>
      <c r="ET8" s="395"/>
      <c r="EU8" s="395"/>
      <c r="EV8" s="395"/>
      <c r="EW8" s="395"/>
      <c r="EX8" s="395"/>
      <c r="EY8" s="395"/>
      <c r="EZ8" s="395"/>
      <c r="FA8" s="395"/>
      <c r="FB8" s="395"/>
      <c r="FC8" s="395"/>
      <c r="FD8" s="395"/>
      <c r="FE8" s="395"/>
      <c r="FF8" s="395"/>
      <c r="FG8" s="395"/>
      <c r="FH8" s="395"/>
      <c r="FI8" s="395"/>
      <c r="FJ8" s="395"/>
      <c r="FK8" s="395"/>
      <c r="FL8" s="395"/>
      <c r="FM8" s="395"/>
      <c r="FN8" s="395"/>
      <c r="FO8" s="395"/>
      <c r="FP8" s="395"/>
      <c r="FQ8" s="395"/>
      <c r="FR8" s="395"/>
      <c r="FS8" s="395"/>
      <c r="FT8" s="395"/>
      <c r="FU8" s="395"/>
      <c r="FV8" s="395"/>
      <c r="FW8" s="395"/>
      <c r="FX8" s="395"/>
      <c r="FY8" s="395"/>
      <c r="FZ8" s="395"/>
      <c r="GA8" s="395"/>
      <c r="GB8" s="395"/>
      <c r="GC8" s="395"/>
      <c r="GD8" s="395"/>
      <c r="GE8" s="395"/>
      <c r="GF8" s="395"/>
      <c r="GG8" s="395"/>
      <c r="GH8" s="395"/>
      <c r="GI8" s="395"/>
      <c r="GJ8" s="395"/>
      <c r="GK8" s="395"/>
      <c r="GL8" s="395"/>
      <c r="GM8" s="395"/>
      <c r="GN8" s="395"/>
      <c r="GO8" s="395"/>
      <c r="GP8" s="395"/>
      <c r="GQ8" s="395"/>
      <c r="GR8" s="395"/>
      <c r="GS8" s="395"/>
      <c r="GT8" s="395"/>
      <c r="GU8" s="395"/>
      <c r="GV8" s="395"/>
      <c r="GW8" s="395"/>
      <c r="GX8" s="395"/>
      <c r="GY8" s="395"/>
      <c r="GZ8" s="395"/>
      <c r="HA8" s="395"/>
      <c r="HB8" s="395"/>
      <c r="HC8" s="395"/>
      <c r="HD8" s="395"/>
      <c r="HE8" s="395"/>
      <c r="HF8" s="395"/>
      <c r="HG8" s="395"/>
      <c r="HH8" s="395"/>
      <c r="HI8" s="395"/>
      <c r="HJ8" s="395"/>
      <c r="HK8" s="395"/>
      <c r="HL8" s="395"/>
      <c r="HM8" s="395"/>
      <c r="HN8" s="395"/>
      <c r="HO8" s="395"/>
      <c r="HP8" s="395"/>
      <c r="HQ8" s="395"/>
      <c r="HR8" s="395"/>
      <c r="HS8" s="395"/>
      <c r="HT8" s="395"/>
      <c r="HU8" s="395"/>
      <c r="HV8" s="395"/>
      <c r="HW8" s="395"/>
      <c r="HX8" s="395"/>
      <c r="HY8" s="395"/>
      <c r="HZ8" s="395"/>
      <c r="IA8" s="395"/>
      <c r="IB8" s="395"/>
      <c r="IC8" s="395"/>
      <c r="ID8" s="395"/>
      <c r="IE8" s="395"/>
      <c r="IF8" s="395"/>
      <c r="IG8" s="395"/>
      <c r="IH8" s="395"/>
      <c r="II8" s="395"/>
      <c r="IJ8" s="395"/>
      <c r="IK8" s="395"/>
      <c r="IL8" s="395"/>
      <c r="IM8" s="395"/>
      <c r="IN8" s="395"/>
      <c r="IO8" s="395"/>
      <c r="IP8" s="395"/>
      <c r="IQ8" s="395"/>
      <c r="IR8" s="395"/>
      <c r="IS8" s="395"/>
      <c r="IT8" s="395"/>
      <c r="IU8" s="395"/>
      <c r="IV8" s="395"/>
      <c r="IW8" s="395"/>
      <c r="IX8" s="395"/>
      <c r="IY8" s="395"/>
      <c r="IZ8" s="395"/>
      <c r="JA8" s="395"/>
      <c r="JB8" s="395"/>
      <c r="JC8" s="395"/>
      <c r="JD8" s="395"/>
      <c r="JE8" s="395"/>
      <c r="JF8" s="395"/>
      <c r="JG8" s="395"/>
      <c r="JH8" s="395"/>
      <c r="JI8" s="395"/>
      <c r="JJ8" s="395"/>
      <c r="JK8" s="395"/>
      <c r="JL8" s="395"/>
      <c r="JM8" s="395"/>
      <c r="JN8" s="395"/>
      <c r="JO8" s="395"/>
      <c r="JP8" s="395"/>
      <c r="JQ8" s="395"/>
      <c r="JR8" s="395"/>
      <c r="JS8" s="395"/>
      <c r="JT8" s="395"/>
      <c r="JU8" s="395"/>
      <c r="JV8" s="395"/>
      <c r="JW8" s="395"/>
      <c r="JX8" s="395"/>
      <c r="JY8" s="395"/>
      <c r="JZ8" s="395"/>
      <c r="KA8" s="395"/>
      <c r="KB8" s="395"/>
      <c r="KC8" s="395"/>
      <c r="KD8" s="395"/>
      <c r="KE8" s="395"/>
      <c r="KF8" s="395"/>
      <c r="KG8" s="395"/>
      <c r="KH8" s="395"/>
      <c r="KI8" s="395"/>
      <c r="KJ8" s="395"/>
      <c r="KK8" s="395"/>
      <c r="KL8" s="395"/>
      <c r="KM8" s="395"/>
      <c r="KN8" s="395"/>
      <c r="KO8" s="395"/>
      <c r="KP8" s="395"/>
      <c r="KQ8" s="395"/>
      <c r="KR8" s="395"/>
      <c r="KS8" s="395"/>
      <c r="KT8" s="395"/>
      <c r="KU8" s="395"/>
      <c r="KV8" s="395"/>
      <c r="KW8" s="395"/>
      <c r="KX8" s="395"/>
      <c r="KY8" s="395"/>
      <c r="KZ8" s="395"/>
      <c r="LA8" s="395"/>
      <c r="LB8" s="395"/>
      <c r="LC8" s="395"/>
      <c r="LD8" s="395"/>
      <c r="LE8" s="395"/>
      <c r="LF8" s="395"/>
      <c r="LG8" s="395"/>
      <c r="LH8" s="395"/>
      <c r="LI8" s="395"/>
      <c r="LJ8" s="395"/>
      <c r="LK8" s="395"/>
      <c r="LL8" s="395"/>
      <c r="LM8" s="395"/>
      <c r="LN8" s="395"/>
      <c r="LO8" s="395"/>
      <c r="LP8" s="395"/>
      <c r="LQ8" s="395"/>
      <c r="LR8" s="395"/>
      <c r="LS8" s="395"/>
      <c r="LT8" s="395"/>
      <c r="LU8" s="395"/>
      <c r="LV8" s="395"/>
      <c r="LW8" s="395"/>
      <c r="LX8" s="395"/>
      <c r="LY8" s="395"/>
      <c r="LZ8" s="395"/>
      <c r="MA8" s="395"/>
      <c r="MB8" s="395"/>
      <c r="MC8" s="395"/>
      <c r="MD8" s="395"/>
      <c r="ME8" s="395"/>
      <c r="MF8" s="395"/>
      <c r="MG8" s="395"/>
      <c r="MH8" s="395"/>
      <c r="MI8" s="395"/>
      <c r="MJ8" s="395"/>
      <c r="MK8" s="395"/>
      <c r="ML8" s="395"/>
      <c r="MM8" s="395"/>
      <c r="MN8" s="395"/>
      <c r="MO8" s="395"/>
      <c r="MP8" s="395"/>
      <c r="MQ8" s="395"/>
      <c r="MR8" s="395"/>
      <c r="MS8" s="395"/>
      <c r="MT8" s="395"/>
      <c r="MU8" s="395"/>
      <c r="MV8" s="395"/>
      <c r="MW8" s="395"/>
      <c r="MX8" s="395"/>
      <c r="MY8" s="395"/>
      <c r="MZ8" s="395"/>
      <c r="NA8" s="395"/>
      <c r="NB8" s="395"/>
      <c r="NC8" s="395"/>
      <c r="ND8" s="395"/>
      <c r="NE8" s="395"/>
      <c r="NF8" s="395"/>
      <c r="NG8" s="395"/>
      <c r="NH8" s="395"/>
      <c r="NI8" s="395"/>
      <c r="NJ8" s="395"/>
      <c r="NK8" s="395"/>
      <c r="NL8" s="395"/>
      <c r="NM8" s="395"/>
      <c r="NN8" s="395"/>
      <c r="NO8" s="395"/>
      <c r="NP8" s="395"/>
      <c r="NQ8" s="395"/>
      <c r="NR8" s="395"/>
      <c r="NS8" s="395"/>
      <c r="NT8" s="395"/>
      <c r="NU8" s="395"/>
      <c r="NV8" s="395"/>
      <c r="NW8" s="395"/>
      <c r="NX8" s="395"/>
      <c r="NY8" s="395"/>
      <c r="NZ8" s="395"/>
      <c r="OA8" s="395"/>
      <c r="OB8" s="395"/>
      <c r="OC8" s="395"/>
    </row>
    <row r="9" spans="1:393" s="324" customFormat="1" ht="15" customHeight="1" x14ac:dyDescent="0.25">
      <c r="A9" s="33" t="s">
        <v>356</v>
      </c>
      <c r="B9" s="75">
        <v>7538</v>
      </c>
      <c r="C9" s="76">
        <v>817315</v>
      </c>
      <c r="D9" s="75">
        <v>1383</v>
      </c>
      <c r="E9" s="76">
        <v>216365</v>
      </c>
      <c r="F9" s="75">
        <v>72</v>
      </c>
      <c r="G9" s="76">
        <v>27648</v>
      </c>
      <c r="H9" s="75">
        <f>B9+D9+F9</f>
        <v>8993</v>
      </c>
      <c r="I9" s="75">
        <f>C9+E9+G9</f>
        <v>1061328</v>
      </c>
      <c r="J9" s="15" t="s">
        <v>357</v>
      </c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  <c r="BB9" s="395"/>
      <c r="BC9" s="395"/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5"/>
      <c r="BX9" s="395"/>
      <c r="BY9" s="395"/>
      <c r="BZ9" s="395"/>
      <c r="CA9" s="395"/>
      <c r="CB9" s="395"/>
      <c r="CC9" s="395"/>
      <c r="CD9" s="395"/>
      <c r="CE9" s="395"/>
      <c r="CF9" s="395"/>
      <c r="CG9" s="395"/>
      <c r="CH9" s="395"/>
      <c r="CI9" s="395"/>
      <c r="CJ9" s="395"/>
      <c r="CK9" s="395"/>
      <c r="CL9" s="395"/>
      <c r="CM9" s="395"/>
      <c r="CN9" s="395"/>
      <c r="CO9" s="395"/>
      <c r="CP9" s="395"/>
      <c r="CQ9" s="395"/>
      <c r="CR9" s="395"/>
      <c r="CS9" s="395"/>
      <c r="CT9" s="395"/>
      <c r="CU9" s="395"/>
      <c r="CV9" s="395"/>
      <c r="CW9" s="395"/>
      <c r="CX9" s="395"/>
      <c r="CY9" s="395"/>
      <c r="CZ9" s="395"/>
      <c r="DA9" s="395"/>
      <c r="DB9" s="395"/>
      <c r="DC9" s="395"/>
      <c r="DD9" s="395"/>
      <c r="DE9" s="395"/>
      <c r="DF9" s="395"/>
      <c r="DG9" s="395"/>
      <c r="DH9" s="395"/>
      <c r="DI9" s="395"/>
      <c r="DJ9" s="395"/>
      <c r="DK9" s="395"/>
      <c r="DL9" s="395"/>
      <c r="DM9" s="395"/>
      <c r="DN9" s="395"/>
      <c r="DO9" s="395"/>
      <c r="DP9" s="395"/>
      <c r="DQ9" s="395"/>
      <c r="DR9" s="395"/>
      <c r="DS9" s="395"/>
      <c r="DT9" s="395"/>
      <c r="DU9" s="395"/>
      <c r="DV9" s="395"/>
      <c r="DW9" s="395"/>
      <c r="DX9" s="395"/>
      <c r="DY9" s="395"/>
      <c r="DZ9" s="395"/>
      <c r="EA9" s="395"/>
      <c r="EB9" s="395"/>
      <c r="EC9" s="395"/>
      <c r="ED9" s="395"/>
      <c r="EE9" s="395"/>
      <c r="EF9" s="395"/>
      <c r="EG9" s="395"/>
      <c r="EH9" s="395"/>
      <c r="EI9" s="395"/>
      <c r="EJ9" s="395"/>
      <c r="EK9" s="395"/>
      <c r="EL9" s="395"/>
      <c r="EM9" s="395"/>
      <c r="EN9" s="395"/>
      <c r="EO9" s="395"/>
      <c r="EP9" s="395"/>
      <c r="EQ9" s="395"/>
      <c r="ER9" s="395"/>
      <c r="ES9" s="395"/>
      <c r="ET9" s="395"/>
      <c r="EU9" s="395"/>
      <c r="EV9" s="395"/>
      <c r="EW9" s="395"/>
      <c r="EX9" s="395"/>
      <c r="EY9" s="395"/>
      <c r="EZ9" s="395"/>
      <c r="FA9" s="395"/>
      <c r="FB9" s="395"/>
      <c r="FC9" s="395"/>
      <c r="FD9" s="395"/>
      <c r="FE9" s="395"/>
      <c r="FF9" s="395"/>
      <c r="FG9" s="395"/>
      <c r="FH9" s="395"/>
      <c r="FI9" s="395"/>
      <c r="FJ9" s="395"/>
      <c r="FK9" s="395"/>
      <c r="FL9" s="395"/>
      <c r="FM9" s="395"/>
      <c r="FN9" s="395"/>
      <c r="FO9" s="395"/>
      <c r="FP9" s="395"/>
      <c r="FQ9" s="395"/>
      <c r="FR9" s="395"/>
      <c r="FS9" s="395"/>
      <c r="FT9" s="395"/>
      <c r="FU9" s="395"/>
      <c r="FV9" s="395"/>
      <c r="FW9" s="395"/>
      <c r="FX9" s="395"/>
      <c r="FY9" s="395"/>
      <c r="FZ9" s="395"/>
      <c r="GA9" s="395"/>
      <c r="GB9" s="395"/>
      <c r="GC9" s="395"/>
      <c r="GD9" s="395"/>
      <c r="GE9" s="395"/>
      <c r="GF9" s="395"/>
      <c r="GG9" s="395"/>
      <c r="GH9" s="395"/>
      <c r="GI9" s="395"/>
      <c r="GJ9" s="395"/>
      <c r="GK9" s="395"/>
      <c r="GL9" s="395"/>
      <c r="GM9" s="395"/>
      <c r="GN9" s="395"/>
      <c r="GO9" s="395"/>
      <c r="GP9" s="395"/>
      <c r="GQ9" s="395"/>
      <c r="GR9" s="395"/>
      <c r="GS9" s="395"/>
      <c r="GT9" s="395"/>
      <c r="GU9" s="395"/>
      <c r="GV9" s="395"/>
      <c r="GW9" s="395"/>
      <c r="GX9" s="395"/>
      <c r="GY9" s="395"/>
      <c r="GZ9" s="395"/>
      <c r="HA9" s="395"/>
      <c r="HB9" s="395"/>
      <c r="HC9" s="395"/>
      <c r="HD9" s="395"/>
      <c r="HE9" s="395"/>
      <c r="HF9" s="395"/>
      <c r="HG9" s="395"/>
      <c r="HH9" s="395"/>
      <c r="HI9" s="395"/>
      <c r="HJ9" s="395"/>
      <c r="HK9" s="395"/>
      <c r="HL9" s="395"/>
      <c r="HM9" s="395"/>
      <c r="HN9" s="395"/>
      <c r="HO9" s="395"/>
      <c r="HP9" s="395"/>
      <c r="HQ9" s="395"/>
      <c r="HR9" s="395"/>
      <c r="HS9" s="395"/>
      <c r="HT9" s="395"/>
      <c r="HU9" s="395"/>
      <c r="HV9" s="395"/>
      <c r="HW9" s="395"/>
      <c r="HX9" s="395"/>
      <c r="HY9" s="395"/>
      <c r="HZ9" s="395"/>
      <c r="IA9" s="395"/>
      <c r="IB9" s="395"/>
      <c r="IC9" s="395"/>
      <c r="ID9" s="395"/>
      <c r="IE9" s="395"/>
      <c r="IF9" s="395"/>
      <c r="IG9" s="395"/>
      <c r="IH9" s="395"/>
      <c r="II9" s="395"/>
      <c r="IJ9" s="395"/>
      <c r="IK9" s="395"/>
      <c r="IL9" s="395"/>
      <c r="IM9" s="395"/>
      <c r="IN9" s="395"/>
      <c r="IO9" s="395"/>
      <c r="IP9" s="395"/>
      <c r="IQ9" s="395"/>
      <c r="IR9" s="395"/>
      <c r="IS9" s="395"/>
      <c r="IT9" s="395"/>
      <c r="IU9" s="395"/>
      <c r="IV9" s="395"/>
      <c r="IW9" s="395"/>
      <c r="IX9" s="395"/>
      <c r="IY9" s="395"/>
      <c r="IZ9" s="395"/>
      <c r="JA9" s="395"/>
      <c r="JB9" s="395"/>
      <c r="JC9" s="395"/>
      <c r="JD9" s="395"/>
      <c r="JE9" s="395"/>
      <c r="JF9" s="395"/>
      <c r="JG9" s="395"/>
      <c r="JH9" s="395"/>
      <c r="JI9" s="395"/>
      <c r="JJ9" s="395"/>
      <c r="JK9" s="395"/>
      <c r="JL9" s="395"/>
      <c r="JM9" s="395"/>
      <c r="JN9" s="395"/>
      <c r="JO9" s="395"/>
      <c r="JP9" s="395"/>
      <c r="JQ9" s="395"/>
      <c r="JR9" s="395"/>
      <c r="JS9" s="395"/>
      <c r="JT9" s="395"/>
      <c r="JU9" s="395"/>
      <c r="JV9" s="395"/>
      <c r="JW9" s="395"/>
      <c r="JX9" s="395"/>
      <c r="JY9" s="395"/>
      <c r="JZ9" s="395"/>
      <c r="KA9" s="395"/>
      <c r="KB9" s="395"/>
      <c r="KC9" s="395"/>
      <c r="KD9" s="395"/>
      <c r="KE9" s="395"/>
      <c r="KF9" s="395"/>
      <c r="KG9" s="395"/>
      <c r="KH9" s="395"/>
      <c r="KI9" s="395"/>
      <c r="KJ9" s="395"/>
      <c r="KK9" s="395"/>
      <c r="KL9" s="395"/>
      <c r="KM9" s="395"/>
      <c r="KN9" s="395"/>
      <c r="KO9" s="395"/>
      <c r="KP9" s="395"/>
      <c r="KQ9" s="395"/>
      <c r="KR9" s="395"/>
      <c r="KS9" s="395"/>
      <c r="KT9" s="395"/>
      <c r="KU9" s="395"/>
      <c r="KV9" s="395"/>
      <c r="KW9" s="395"/>
      <c r="KX9" s="395"/>
      <c r="KY9" s="395"/>
      <c r="KZ9" s="395"/>
      <c r="LA9" s="395"/>
      <c r="LB9" s="395"/>
      <c r="LC9" s="395"/>
      <c r="LD9" s="395"/>
      <c r="LE9" s="395"/>
      <c r="LF9" s="395"/>
      <c r="LG9" s="395"/>
      <c r="LH9" s="395"/>
      <c r="LI9" s="395"/>
      <c r="LJ9" s="395"/>
      <c r="LK9" s="395"/>
      <c r="LL9" s="395"/>
      <c r="LM9" s="395"/>
      <c r="LN9" s="395"/>
      <c r="LO9" s="395"/>
      <c r="LP9" s="395"/>
      <c r="LQ9" s="395"/>
      <c r="LR9" s="395"/>
      <c r="LS9" s="395"/>
      <c r="LT9" s="395"/>
      <c r="LU9" s="395"/>
      <c r="LV9" s="395"/>
      <c r="LW9" s="395"/>
      <c r="LX9" s="395"/>
      <c r="LY9" s="395"/>
      <c r="LZ9" s="395"/>
      <c r="MA9" s="395"/>
      <c r="MB9" s="395"/>
      <c r="MC9" s="395"/>
      <c r="MD9" s="395"/>
      <c r="ME9" s="395"/>
      <c r="MF9" s="395"/>
      <c r="MG9" s="395"/>
      <c r="MH9" s="395"/>
      <c r="MI9" s="395"/>
      <c r="MJ9" s="395"/>
      <c r="MK9" s="395"/>
      <c r="ML9" s="395"/>
      <c r="MM9" s="395"/>
      <c r="MN9" s="395"/>
      <c r="MO9" s="395"/>
      <c r="MP9" s="395"/>
      <c r="MQ9" s="395"/>
      <c r="MR9" s="395"/>
      <c r="MS9" s="395"/>
      <c r="MT9" s="395"/>
      <c r="MU9" s="395"/>
      <c r="MV9" s="395"/>
      <c r="MW9" s="395"/>
      <c r="MX9" s="395"/>
      <c r="MY9" s="395"/>
      <c r="MZ9" s="395"/>
      <c r="NA9" s="395"/>
      <c r="NB9" s="395"/>
      <c r="NC9" s="395"/>
      <c r="ND9" s="395"/>
      <c r="NE9" s="395"/>
      <c r="NF9" s="395"/>
      <c r="NG9" s="395"/>
      <c r="NH9" s="395"/>
      <c r="NI9" s="395"/>
      <c r="NJ9" s="395"/>
      <c r="NK9" s="395"/>
      <c r="NL9" s="395"/>
      <c r="NM9" s="395"/>
      <c r="NN9" s="395"/>
      <c r="NO9" s="395"/>
      <c r="NP9" s="395"/>
      <c r="NQ9" s="395"/>
      <c r="NR9" s="395"/>
      <c r="NS9" s="395"/>
      <c r="NT9" s="395"/>
      <c r="NU9" s="395"/>
      <c r="NV9" s="395"/>
      <c r="NW9" s="395"/>
      <c r="NX9" s="395"/>
      <c r="NY9" s="395"/>
      <c r="NZ9" s="395"/>
      <c r="OA9" s="395"/>
      <c r="OB9" s="395"/>
      <c r="OC9" s="395"/>
    </row>
    <row r="10" spans="1:393" s="151" customFormat="1" ht="15" customHeight="1" x14ac:dyDescent="0.25">
      <c r="A10" s="53" t="s">
        <v>30</v>
      </c>
      <c r="B10" s="78">
        <v>15945</v>
      </c>
      <c r="C10" s="153">
        <v>1548419</v>
      </c>
      <c r="D10" s="78">
        <v>0</v>
      </c>
      <c r="E10" s="153">
        <v>0</v>
      </c>
      <c r="F10" s="78">
        <v>442</v>
      </c>
      <c r="G10" s="153">
        <v>115292</v>
      </c>
      <c r="H10" s="78">
        <f t="shared" ref="H10:H23" si="0">B10+D10+F10</f>
        <v>16387</v>
      </c>
      <c r="I10" s="78">
        <f t="shared" ref="I10:I23" si="1">C10+E10+G10</f>
        <v>1663711</v>
      </c>
      <c r="J10" s="54" t="s">
        <v>31</v>
      </c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  <c r="IX10" s="289"/>
      <c r="IY10" s="289"/>
      <c r="IZ10" s="289"/>
      <c r="JA10" s="289"/>
      <c r="JB10" s="289"/>
      <c r="JC10" s="289"/>
      <c r="JD10" s="289"/>
      <c r="JE10" s="289"/>
      <c r="JF10" s="289"/>
      <c r="JG10" s="289"/>
      <c r="JH10" s="289"/>
      <c r="JI10" s="289"/>
      <c r="JJ10" s="289"/>
      <c r="JK10" s="289"/>
      <c r="JL10" s="289"/>
      <c r="JM10" s="289"/>
      <c r="JN10" s="289"/>
      <c r="JO10" s="289"/>
      <c r="JP10" s="289"/>
      <c r="JQ10" s="289"/>
      <c r="JR10" s="289"/>
      <c r="JS10" s="289"/>
      <c r="JT10" s="289"/>
      <c r="JU10" s="289"/>
      <c r="JV10" s="289"/>
      <c r="JW10" s="289"/>
      <c r="JX10" s="289"/>
      <c r="JY10" s="289"/>
      <c r="JZ10" s="289"/>
      <c r="KA10" s="289"/>
      <c r="KB10" s="289"/>
      <c r="KC10" s="289"/>
      <c r="KD10" s="289"/>
      <c r="KE10" s="289"/>
      <c r="KF10" s="289"/>
      <c r="KG10" s="289"/>
      <c r="KH10" s="289"/>
      <c r="KI10" s="289"/>
      <c r="KJ10" s="289"/>
      <c r="KK10" s="289"/>
      <c r="KL10" s="289"/>
      <c r="KM10" s="289"/>
      <c r="KN10" s="289"/>
      <c r="KO10" s="289"/>
      <c r="KP10" s="289"/>
      <c r="KQ10" s="289"/>
      <c r="KR10" s="289"/>
      <c r="KS10" s="289"/>
      <c r="KT10" s="289"/>
      <c r="KU10" s="289"/>
      <c r="KV10" s="289"/>
      <c r="KW10" s="289"/>
      <c r="KX10" s="289"/>
      <c r="KY10" s="289"/>
      <c r="KZ10" s="289"/>
      <c r="LA10" s="289"/>
      <c r="LB10" s="289"/>
      <c r="LC10" s="289"/>
      <c r="LD10" s="289"/>
      <c r="LE10" s="289"/>
      <c r="LF10" s="289"/>
      <c r="LG10" s="289"/>
      <c r="LH10" s="289"/>
      <c r="LI10" s="289"/>
      <c r="LJ10" s="289"/>
      <c r="LK10" s="289"/>
      <c r="LL10" s="289"/>
      <c r="LM10" s="289"/>
      <c r="LN10" s="289"/>
      <c r="LO10" s="289"/>
      <c r="LP10" s="289"/>
      <c r="LQ10" s="289"/>
      <c r="LR10" s="289"/>
      <c r="LS10" s="289"/>
      <c r="LT10" s="289"/>
      <c r="LU10" s="289"/>
      <c r="LV10" s="289"/>
      <c r="LW10" s="289"/>
      <c r="LX10" s="289"/>
      <c r="LY10" s="289"/>
      <c r="LZ10" s="289"/>
      <c r="MA10" s="289"/>
      <c r="MB10" s="289"/>
      <c r="MC10" s="289"/>
      <c r="MD10" s="289"/>
      <c r="ME10" s="289"/>
      <c r="MF10" s="289"/>
      <c r="MG10" s="289"/>
      <c r="MH10" s="289"/>
      <c r="MI10" s="289"/>
      <c r="MJ10" s="289"/>
      <c r="MK10" s="289"/>
      <c r="ML10" s="289"/>
      <c r="MM10" s="289"/>
      <c r="MN10" s="289"/>
      <c r="MO10" s="289"/>
      <c r="MP10" s="289"/>
      <c r="MQ10" s="289"/>
      <c r="MR10" s="289"/>
      <c r="MS10" s="289"/>
      <c r="MT10" s="289"/>
      <c r="MU10" s="289"/>
      <c r="MV10" s="289"/>
      <c r="MW10" s="289"/>
      <c r="MX10" s="289"/>
      <c r="MY10" s="289"/>
      <c r="MZ10" s="289"/>
      <c r="NA10" s="289"/>
      <c r="NB10" s="289"/>
      <c r="NC10" s="289"/>
      <c r="ND10" s="289"/>
      <c r="NE10" s="289"/>
      <c r="NF10" s="289"/>
      <c r="NG10" s="289"/>
      <c r="NH10" s="289"/>
      <c r="NI10" s="289"/>
      <c r="NJ10" s="289"/>
      <c r="NK10" s="289"/>
      <c r="NL10" s="289"/>
      <c r="NM10" s="289"/>
      <c r="NN10" s="289"/>
      <c r="NO10" s="289"/>
      <c r="NP10" s="289"/>
      <c r="NQ10" s="289"/>
      <c r="NR10" s="289"/>
      <c r="NS10" s="289"/>
      <c r="NT10" s="289"/>
      <c r="NU10" s="289"/>
      <c r="NV10" s="289"/>
      <c r="NW10" s="289"/>
      <c r="NX10" s="289"/>
      <c r="NY10" s="289"/>
      <c r="NZ10" s="289"/>
      <c r="OA10" s="289"/>
      <c r="OB10" s="289"/>
      <c r="OC10" s="289"/>
    </row>
    <row r="11" spans="1:393" s="290" customFormat="1" ht="15" customHeight="1" x14ac:dyDescent="0.25">
      <c r="A11" s="14" t="s">
        <v>3</v>
      </c>
      <c r="B11" s="75">
        <v>20160</v>
      </c>
      <c r="C11" s="76">
        <v>2114402</v>
      </c>
      <c r="D11" s="75">
        <v>5051</v>
      </c>
      <c r="E11" s="76">
        <v>624399</v>
      </c>
      <c r="F11" s="75">
        <v>499</v>
      </c>
      <c r="G11" s="76">
        <v>43471</v>
      </c>
      <c r="H11" s="75">
        <f t="shared" si="0"/>
        <v>25710</v>
      </c>
      <c r="I11" s="75">
        <f t="shared" si="1"/>
        <v>2782272</v>
      </c>
      <c r="J11" s="52" t="s">
        <v>15</v>
      </c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  <c r="IX11" s="289"/>
      <c r="IY11" s="289"/>
      <c r="IZ11" s="289"/>
      <c r="JA11" s="289"/>
      <c r="JB11" s="289"/>
      <c r="JC11" s="289"/>
      <c r="JD11" s="289"/>
      <c r="JE11" s="289"/>
      <c r="JF11" s="289"/>
      <c r="JG11" s="289"/>
      <c r="JH11" s="289"/>
      <c r="JI11" s="289"/>
      <c r="JJ11" s="289"/>
      <c r="JK11" s="289"/>
      <c r="JL11" s="289"/>
      <c r="JM11" s="289"/>
      <c r="JN11" s="289"/>
      <c r="JO11" s="289"/>
      <c r="JP11" s="289"/>
      <c r="JQ11" s="289"/>
      <c r="JR11" s="289"/>
      <c r="JS11" s="289"/>
      <c r="JT11" s="289"/>
      <c r="JU11" s="289"/>
      <c r="JV11" s="289"/>
      <c r="JW11" s="289"/>
      <c r="JX11" s="289"/>
      <c r="JY11" s="289"/>
      <c r="JZ11" s="289"/>
      <c r="KA11" s="289"/>
      <c r="KB11" s="289"/>
      <c r="KC11" s="289"/>
      <c r="KD11" s="289"/>
      <c r="KE11" s="289"/>
      <c r="KF11" s="289"/>
      <c r="KG11" s="289"/>
      <c r="KH11" s="289"/>
      <c r="KI11" s="289"/>
      <c r="KJ11" s="289"/>
      <c r="KK11" s="289"/>
      <c r="KL11" s="289"/>
      <c r="KM11" s="289"/>
      <c r="KN11" s="289"/>
      <c r="KO11" s="289"/>
      <c r="KP11" s="289"/>
      <c r="KQ11" s="289"/>
      <c r="KR11" s="289"/>
      <c r="KS11" s="289"/>
      <c r="KT11" s="289"/>
      <c r="KU11" s="289"/>
      <c r="KV11" s="289"/>
      <c r="KW11" s="289"/>
      <c r="KX11" s="289"/>
      <c r="KY11" s="289"/>
      <c r="KZ11" s="289"/>
      <c r="LA11" s="289"/>
      <c r="LB11" s="289"/>
      <c r="LC11" s="289"/>
      <c r="LD11" s="289"/>
      <c r="LE11" s="289"/>
      <c r="LF11" s="289"/>
      <c r="LG11" s="289"/>
      <c r="LH11" s="289"/>
      <c r="LI11" s="289"/>
      <c r="LJ11" s="289"/>
      <c r="LK11" s="289"/>
      <c r="LL11" s="289"/>
      <c r="LM11" s="289"/>
      <c r="LN11" s="289"/>
      <c r="LO11" s="289"/>
      <c r="LP11" s="289"/>
      <c r="LQ11" s="289"/>
      <c r="LR11" s="289"/>
      <c r="LS11" s="289"/>
      <c r="LT11" s="289"/>
      <c r="LU11" s="289"/>
      <c r="LV11" s="289"/>
      <c r="LW11" s="289"/>
      <c r="LX11" s="289"/>
      <c r="LY11" s="289"/>
      <c r="LZ11" s="289"/>
      <c r="MA11" s="289"/>
      <c r="MB11" s="289"/>
      <c r="MC11" s="289"/>
      <c r="MD11" s="289"/>
      <c r="ME11" s="289"/>
      <c r="MF11" s="289"/>
      <c r="MG11" s="289"/>
      <c r="MH11" s="289"/>
      <c r="MI11" s="289"/>
      <c r="MJ11" s="289"/>
      <c r="MK11" s="289"/>
      <c r="ML11" s="289"/>
      <c r="MM11" s="289"/>
      <c r="MN11" s="289"/>
      <c r="MO11" s="289"/>
      <c r="MP11" s="289"/>
      <c r="MQ11" s="289"/>
      <c r="MR11" s="289"/>
      <c r="MS11" s="289"/>
      <c r="MT11" s="289"/>
      <c r="MU11" s="289"/>
      <c r="MV11" s="289"/>
      <c r="MW11" s="289"/>
      <c r="MX11" s="289"/>
      <c r="MY11" s="289"/>
      <c r="MZ11" s="289"/>
      <c r="NA11" s="289"/>
      <c r="NB11" s="289"/>
      <c r="NC11" s="289"/>
      <c r="ND11" s="289"/>
      <c r="NE11" s="289"/>
      <c r="NF11" s="289"/>
      <c r="NG11" s="289"/>
      <c r="NH11" s="289"/>
      <c r="NI11" s="289"/>
      <c r="NJ11" s="289"/>
      <c r="NK11" s="289"/>
      <c r="NL11" s="289"/>
      <c r="NM11" s="289"/>
      <c r="NN11" s="289"/>
      <c r="NO11" s="289"/>
      <c r="NP11" s="289"/>
      <c r="NQ11" s="289"/>
      <c r="NR11" s="289"/>
      <c r="NS11" s="289"/>
      <c r="NT11" s="289"/>
      <c r="NU11" s="289"/>
      <c r="NV11" s="289"/>
      <c r="NW11" s="289"/>
      <c r="NX11" s="289"/>
      <c r="NY11" s="289"/>
      <c r="NZ11" s="289"/>
      <c r="OA11" s="289"/>
      <c r="OB11" s="289"/>
      <c r="OC11" s="289"/>
    </row>
    <row r="12" spans="1:393" s="151" customFormat="1" ht="15" customHeight="1" x14ac:dyDescent="0.25">
      <c r="A12" s="669" t="s">
        <v>342</v>
      </c>
      <c r="B12" s="78">
        <v>6707</v>
      </c>
      <c r="C12" s="153">
        <v>648652</v>
      </c>
      <c r="D12" s="78">
        <v>3242</v>
      </c>
      <c r="E12" s="153">
        <v>356207</v>
      </c>
      <c r="F12" s="78">
        <v>216</v>
      </c>
      <c r="G12" s="153">
        <v>54713</v>
      </c>
      <c r="H12" s="78">
        <f t="shared" si="0"/>
        <v>10165</v>
      </c>
      <c r="I12" s="78">
        <f t="shared" si="1"/>
        <v>1059572</v>
      </c>
      <c r="J12" s="672" t="s">
        <v>337</v>
      </c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  <c r="IX12" s="289"/>
      <c r="IY12" s="289"/>
      <c r="IZ12" s="289"/>
      <c r="JA12" s="289"/>
      <c r="JB12" s="289"/>
      <c r="JC12" s="289"/>
      <c r="JD12" s="289"/>
      <c r="JE12" s="289"/>
      <c r="JF12" s="289"/>
      <c r="JG12" s="289"/>
      <c r="JH12" s="289"/>
      <c r="JI12" s="289"/>
      <c r="JJ12" s="289"/>
      <c r="JK12" s="289"/>
      <c r="JL12" s="289"/>
      <c r="JM12" s="289"/>
      <c r="JN12" s="289"/>
      <c r="JO12" s="289"/>
      <c r="JP12" s="289"/>
      <c r="JQ12" s="289"/>
      <c r="JR12" s="289"/>
      <c r="JS12" s="289"/>
      <c r="JT12" s="289"/>
      <c r="JU12" s="289"/>
      <c r="JV12" s="289"/>
      <c r="JW12" s="289"/>
      <c r="JX12" s="289"/>
      <c r="JY12" s="289"/>
      <c r="JZ12" s="289"/>
      <c r="KA12" s="289"/>
      <c r="KB12" s="289"/>
      <c r="KC12" s="289"/>
      <c r="KD12" s="289"/>
      <c r="KE12" s="289"/>
      <c r="KF12" s="289"/>
      <c r="KG12" s="289"/>
      <c r="KH12" s="289"/>
      <c r="KI12" s="289"/>
      <c r="KJ12" s="289"/>
      <c r="KK12" s="289"/>
      <c r="KL12" s="289"/>
      <c r="KM12" s="289"/>
      <c r="KN12" s="289"/>
      <c r="KO12" s="289"/>
      <c r="KP12" s="289"/>
      <c r="KQ12" s="289"/>
      <c r="KR12" s="289"/>
      <c r="KS12" s="289"/>
      <c r="KT12" s="289"/>
      <c r="KU12" s="289"/>
      <c r="KV12" s="289"/>
      <c r="KW12" s="289"/>
      <c r="KX12" s="289"/>
      <c r="KY12" s="289"/>
      <c r="KZ12" s="289"/>
      <c r="LA12" s="289"/>
      <c r="LB12" s="289"/>
      <c r="LC12" s="289"/>
      <c r="LD12" s="289"/>
      <c r="LE12" s="289"/>
      <c r="LF12" s="289"/>
      <c r="LG12" s="289"/>
      <c r="LH12" s="289"/>
      <c r="LI12" s="289"/>
      <c r="LJ12" s="289"/>
      <c r="LK12" s="289"/>
      <c r="LL12" s="289"/>
      <c r="LM12" s="289"/>
      <c r="LN12" s="289"/>
      <c r="LO12" s="289"/>
      <c r="LP12" s="289"/>
      <c r="LQ12" s="289"/>
      <c r="LR12" s="289"/>
      <c r="LS12" s="289"/>
      <c r="LT12" s="289"/>
      <c r="LU12" s="289"/>
      <c r="LV12" s="289"/>
      <c r="LW12" s="289"/>
      <c r="LX12" s="289"/>
      <c r="LY12" s="289"/>
      <c r="LZ12" s="289"/>
      <c r="MA12" s="289"/>
      <c r="MB12" s="289"/>
      <c r="MC12" s="289"/>
      <c r="MD12" s="289"/>
      <c r="ME12" s="289"/>
      <c r="MF12" s="289"/>
      <c r="MG12" s="289"/>
      <c r="MH12" s="289"/>
      <c r="MI12" s="289"/>
      <c r="MJ12" s="289"/>
      <c r="MK12" s="289"/>
      <c r="ML12" s="289"/>
      <c r="MM12" s="289"/>
      <c r="MN12" s="289"/>
      <c r="MO12" s="289"/>
      <c r="MP12" s="289"/>
      <c r="MQ12" s="289"/>
      <c r="MR12" s="289"/>
      <c r="MS12" s="289"/>
      <c r="MT12" s="289"/>
      <c r="MU12" s="289"/>
      <c r="MV12" s="289"/>
      <c r="MW12" s="289"/>
      <c r="MX12" s="289"/>
      <c r="MY12" s="289"/>
      <c r="MZ12" s="289"/>
      <c r="NA12" s="289"/>
      <c r="NB12" s="289"/>
      <c r="NC12" s="289"/>
      <c r="ND12" s="289"/>
      <c r="NE12" s="289"/>
      <c r="NF12" s="289"/>
      <c r="NG12" s="289"/>
      <c r="NH12" s="289"/>
      <c r="NI12" s="289"/>
      <c r="NJ12" s="289"/>
      <c r="NK12" s="289"/>
      <c r="NL12" s="289"/>
      <c r="NM12" s="289"/>
      <c r="NN12" s="289"/>
      <c r="NO12" s="289"/>
      <c r="NP12" s="289"/>
      <c r="NQ12" s="289"/>
      <c r="NR12" s="289"/>
      <c r="NS12" s="289"/>
      <c r="NT12" s="289"/>
      <c r="NU12" s="289"/>
      <c r="NV12" s="289"/>
      <c r="NW12" s="289"/>
      <c r="NX12" s="289"/>
      <c r="NY12" s="289"/>
      <c r="NZ12" s="289"/>
      <c r="OA12" s="289"/>
      <c r="OB12" s="289"/>
      <c r="OC12" s="289"/>
    </row>
    <row r="13" spans="1:393" s="290" customFormat="1" ht="15" customHeight="1" x14ac:dyDescent="0.25">
      <c r="A13" s="14" t="s">
        <v>4</v>
      </c>
      <c r="B13" s="75">
        <v>135289</v>
      </c>
      <c r="C13" s="76">
        <v>13693491</v>
      </c>
      <c r="D13" s="75">
        <v>35909</v>
      </c>
      <c r="E13" s="76">
        <v>4032636</v>
      </c>
      <c r="F13" s="75">
        <v>7989</v>
      </c>
      <c r="G13" s="76">
        <v>1676106</v>
      </c>
      <c r="H13" s="75">
        <f t="shared" si="0"/>
        <v>179187</v>
      </c>
      <c r="I13" s="75">
        <f t="shared" si="1"/>
        <v>19402233</v>
      </c>
      <c r="J13" s="52" t="s">
        <v>16</v>
      </c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  <c r="IX13" s="289"/>
      <c r="IY13" s="289"/>
      <c r="IZ13" s="289"/>
      <c r="JA13" s="289"/>
      <c r="JB13" s="289"/>
      <c r="JC13" s="289"/>
      <c r="JD13" s="289"/>
      <c r="JE13" s="289"/>
      <c r="JF13" s="289"/>
      <c r="JG13" s="289"/>
      <c r="JH13" s="289"/>
      <c r="JI13" s="289"/>
      <c r="JJ13" s="289"/>
      <c r="JK13" s="289"/>
      <c r="JL13" s="289"/>
      <c r="JM13" s="289"/>
      <c r="JN13" s="289"/>
      <c r="JO13" s="289"/>
      <c r="JP13" s="289"/>
      <c r="JQ13" s="289"/>
      <c r="JR13" s="289"/>
      <c r="JS13" s="289"/>
      <c r="JT13" s="289"/>
      <c r="JU13" s="289"/>
      <c r="JV13" s="289"/>
      <c r="JW13" s="289"/>
      <c r="JX13" s="289"/>
      <c r="JY13" s="289"/>
      <c r="JZ13" s="289"/>
      <c r="KA13" s="289"/>
      <c r="KB13" s="289"/>
      <c r="KC13" s="289"/>
      <c r="KD13" s="289"/>
      <c r="KE13" s="289"/>
      <c r="KF13" s="289"/>
      <c r="KG13" s="289"/>
      <c r="KH13" s="289"/>
      <c r="KI13" s="289"/>
      <c r="KJ13" s="289"/>
      <c r="KK13" s="289"/>
      <c r="KL13" s="289"/>
      <c r="KM13" s="289"/>
      <c r="KN13" s="289"/>
      <c r="KO13" s="289"/>
      <c r="KP13" s="289"/>
      <c r="KQ13" s="289"/>
      <c r="KR13" s="289"/>
      <c r="KS13" s="289"/>
      <c r="KT13" s="289"/>
      <c r="KU13" s="289"/>
      <c r="KV13" s="289"/>
      <c r="KW13" s="289"/>
      <c r="KX13" s="289"/>
      <c r="KY13" s="289"/>
      <c r="KZ13" s="289"/>
      <c r="LA13" s="289"/>
      <c r="LB13" s="289"/>
      <c r="LC13" s="289"/>
      <c r="LD13" s="289"/>
      <c r="LE13" s="289"/>
      <c r="LF13" s="289"/>
      <c r="LG13" s="289"/>
      <c r="LH13" s="289"/>
      <c r="LI13" s="289"/>
      <c r="LJ13" s="289"/>
      <c r="LK13" s="289"/>
      <c r="LL13" s="289"/>
      <c r="LM13" s="289"/>
      <c r="LN13" s="289"/>
      <c r="LO13" s="289"/>
      <c r="LP13" s="289"/>
      <c r="LQ13" s="289"/>
      <c r="LR13" s="289"/>
      <c r="LS13" s="289"/>
      <c r="LT13" s="289"/>
      <c r="LU13" s="289"/>
      <c r="LV13" s="289"/>
      <c r="LW13" s="289"/>
      <c r="LX13" s="289"/>
      <c r="LY13" s="289"/>
      <c r="LZ13" s="289"/>
      <c r="MA13" s="289"/>
      <c r="MB13" s="289"/>
      <c r="MC13" s="289"/>
      <c r="MD13" s="289"/>
      <c r="ME13" s="289"/>
      <c r="MF13" s="289"/>
      <c r="MG13" s="289"/>
      <c r="MH13" s="289"/>
      <c r="MI13" s="289"/>
      <c r="MJ13" s="289"/>
      <c r="MK13" s="289"/>
      <c r="ML13" s="289"/>
      <c r="MM13" s="289"/>
      <c r="MN13" s="289"/>
      <c r="MO13" s="289"/>
      <c r="MP13" s="289"/>
      <c r="MQ13" s="289"/>
      <c r="MR13" s="289"/>
      <c r="MS13" s="289"/>
      <c r="MT13" s="289"/>
      <c r="MU13" s="289"/>
      <c r="MV13" s="289"/>
      <c r="MW13" s="289"/>
      <c r="MX13" s="289"/>
      <c r="MY13" s="289"/>
      <c r="MZ13" s="289"/>
      <c r="NA13" s="289"/>
      <c r="NB13" s="289"/>
      <c r="NC13" s="289"/>
      <c r="ND13" s="289"/>
      <c r="NE13" s="289"/>
      <c r="NF13" s="289"/>
      <c r="NG13" s="289"/>
      <c r="NH13" s="289"/>
      <c r="NI13" s="289"/>
      <c r="NJ13" s="289"/>
      <c r="NK13" s="289"/>
      <c r="NL13" s="289"/>
      <c r="NM13" s="289"/>
      <c r="NN13" s="289"/>
      <c r="NO13" s="289"/>
      <c r="NP13" s="289"/>
      <c r="NQ13" s="289"/>
      <c r="NR13" s="289"/>
      <c r="NS13" s="289"/>
      <c r="NT13" s="289"/>
      <c r="NU13" s="289"/>
      <c r="NV13" s="289"/>
      <c r="NW13" s="289"/>
      <c r="NX13" s="289"/>
      <c r="NY13" s="289"/>
      <c r="NZ13" s="289"/>
      <c r="OA13" s="289"/>
      <c r="OB13" s="289"/>
      <c r="OC13" s="289"/>
    </row>
    <row r="14" spans="1:393" s="151" customFormat="1" ht="15" customHeight="1" x14ac:dyDescent="0.25">
      <c r="A14" s="669" t="s">
        <v>5</v>
      </c>
      <c r="B14" s="78">
        <v>19698</v>
      </c>
      <c r="C14" s="153">
        <v>1990997</v>
      </c>
      <c r="D14" s="78">
        <v>5126</v>
      </c>
      <c r="E14" s="153">
        <v>545621</v>
      </c>
      <c r="F14" s="78">
        <v>721</v>
      </c>
      <c r="G14" s="153">
        <v>147707</v>
      </c>
      <c r="H14" s="78">
        <f t="shared" si="0"/>
        <v>25545</v>
      </c>
      <c r="I14" s="78">
        <f t="shared" si="1"/>
        <v>2684325</v>
      </c>
      <c r="J14" s="672" t="s">
        <v>23</v>
      </c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  <c r="IX14" s="289"/>
      <c r="IY14" s="289"/>
      <c r="IZ14" s="289"/>
      <c r="JA14" s="289"/>
      <c r="JB14" s="289"/>
      <c r="JC14" s="289"/>
      <c r="JD14" s="289"/>
      <c r="JE14" s="289"/>
      <c r="JF14" s="289"/>
      <c r="JG14" s="289"/>
      <c r="JH14" s="289"/>
      <c r="JI14" s="289"/>
      <c r="JJ14" s="289"/>
      <c r="JK14" s="289"/>
      <c r="JL14" s="289"/>
      <c r="JM14" s="289"/>
      <c r="JN14" s="289"/>
      <c r="JO14" s="289"/>
      <c r="JP14" s="289"/>
      <c r="JQ14" s="289"/>
      <c r="JR14" s="289"/>
      <c r="JS14" s="289"/>
      <c r="JT14" s="289"/>
      <c r="JU14" s="289"/>
      <c r="JV14" s="289"/>
      <c r="JW14" s="289"/>
      <c r="JX14" s="289"/>
      <c r="JY14" s="289"/>
      <c r="JZ14" s="289"/>
      <c r="KA14" s="289"/>
      <c r="KB14" s="289"/>
      <c r="KC14" s="289"/>
      <c r="KD14" s="289"/>
      <c r="KE14" s="289"/>
      <c r="KF14" s="289"/>
      <c r="KG14" s="289"/>
      <c r="KH14" s="289"/>
      <c r="KI14" s="289"/>
      <c r="KJ14" s="289"/>
      <c r="KK14" s="289"/>
      <c r="KL14" s="289"/>
      <c r="KM14" s="289"/>
      <c r="KN14" s="289"/>
      <c r="KO14" s="289"/>
      <c r="KP14" s="289"/>
      <c r="KQ14" s="289"/>
      <c r="KR14" s="289"/>
      <c r="KS14" s="289"/>
      <c r="KT14" s="289"/>
      <c r="KU14" s="289"/>
      <c r="KV14" s="289"/>
      <c r="KW14" s="289"/>
      <c r="KX14" s="289"/>
      <c r="KY14" s="289"/>
      <c r="KZ14" s="289"/>
      <c r="LA14" s="289"/>
      <c r="LB14" s="289"/>
      <c r="LC14" s="289"/>
      <c r="LD14" s="289"/>
      <c r="LE14" s="289"/>
      <c r="LF14" s="289"/>
      <c r="LG14" s="289"/>
      <c r="LH14" s="289"/>
      <c r="LI14" s="289"/>
      <c r="LJ14" s="289"/>
      <c r="LK14" s="289"/>
      <c r="LL14" s="289"/>
      <c r="LM14" s="289"/>
      <c r="LN14" s="289"/>
      <c r="LO14" s="289"/>
      <c r="LP14" s="289"/>
      <c r="LQ14" s="289"/>
      <c r="LR14" s="289"/>
      <c r="LS14" s="289"/>
      <c r="LT14" s="289"/>
      <c r="LU14" s="289"/>
      <c r="LV14" s="289"/>
      <c r="LW14" s="289"/>
      <c r="LX14" s="289"/>
      <c r="LY14" s="289"/>
      <c r="LZ14" s="289"/>
      <c r="MA14" s="289"/>
      <c r="MB14" s="289"/>
      <c r="MC14" s="289"/>
      <c r="MD14" s="289"/>
      <c r="ME14" s="289"/>
      <c r="MF14" s="289"/>
      <c r="MG14" s="289"/>
      <c r="MH14" s="289"/>
      <c r="MI14" s="289"/>
      <c r="MJ14" s="289"/>
      <c r="MK14" s="289"/>
      <c r="ML14" s="289"/>
      <c r="MM14" s="289"/>
      <c r="MN14" s="289"/>
      <c r="MO14" s="289"/>
      <c r="MP14" s="289"/>
      <c r="MQ14" s="289"/>
      <c r="MR14" s="289"/>
      <c r="MS14" s="289"/>
      <c r="MT14" s="289"/>
      <c r="MU14" s="289"/>
      <c r="MV14" s="289"/>
      <c r="MW14" s="289"/>
      <c r="MX14" s="289"/>
      <c r="MY14" s="289"/>
      <c r="MZ14" s="289"/>
      <c r="NA14" s="289"/>
      <c r="NB14" s="289"/>
      <c r="NC14" s="289"/>
      <c r="ND14" s="289"/>
      <c r="NE14" s="289"/>
      <c r="NF14" s="289"/>
      <c r="NG14" s="289"/>
      <c r="NH14" s="289"/>
      <c r="NI14" s="289"/>
      <c r="NJ14" s="289"/>
      <c r="NK14" s="289"/>
      <c r="NL14" s="289"/>
      <c r="NM14" s="289"/>
      <c r="NN14" s="289"/>
      <c r="NO14" s="289"/>
      <c r="NP14" s="289"/>
      <c r="NQ14" s="289"/>
      <c r="NR14" s="289"/>
      <c r="NS14" s="289"/>
      <c r="NT14" s="289"/>
      <c r="NU14" s="289"/>
      <c r="NV14" s="289"/>
      <c r="NW14" s="289"/>
      <c r="NX14" s="289"/>
      <c r="NY14" s="289"/>
      <c r="NZ14" s="289"/>
      <c r="OA14" s="289"/>
      <c r="OB14" s="289"/>
      <c r="OC14" s="289"/>
    </row>
    <row r="15" spans="1:393" s="290" customFormat="1" ht="15" customHeight="1" x14ac:dyDescent="0.25">
      <c r="A15" s="14" t="s">
        <v>6</v>
      </c>
      <c r="B15" s="75">
        <v>18910</v>
      </c>
      <c r="C15" s="76">
        <v>1755906</v>
      </c>
      <c r="D15" s="75">
        <v>5619</v>
      </c>
      <c r="E15" s="76">
        <v>658958</v>
      </c>
      <c r="F15" s="75">
        <v>498</v>
      </c>
      <c r="G15" s="76">
        <v>91103</v>
      </c>
      <c r="H15" s="75">
        <f t="shared" si="0"/>
        <v>25027</v>
      </c>
      <c r="I15" s="75">
        <f t="shared" si="1"/>
        <v>2505967</v>
      </c>
      <c r="J15" s="52" t="s">
        <v>24</v>
      </c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  <c r="IX15" s="289"/>
      <c r="IY15" s="289"/>
      <c r="IZ15" s="289"/>
      <c r="JA15" s="289"/>
      <c r="JB15" s="289"/>
      <c r="JC15" s="289"/>
      <c r="JD15" s="289"/>
      <c r="JE15" s="289"/>
      <c r="JF15" s="289"/>
      <c r="JG15" s="289"/>
      <c r="JH15" s="289"/>
      <c r="JI15" s="289"/>
      <c r="JJ15" s="289"/>
      <c r="JK15" s="289"/>
      <c r="JL15" s="289"/>
      <c r="JM15" s="289"/>
      <c r="JN15" s="289"/>
      <c r="JO15" s="289"/>
      <c r="JP15" s="289"/>
      <c r="JQ15" s="289"/>
      <c r="JR15" s="289"/>
      <c r="JS15" s="289"/>
      <c r="JT15" s="289"/>
      <c r="JU15" s="289"/>
      <c r="JV15" s="289"/>
      <c r="JW15" s="289"/>
      <c r="JX15" s="289"/>
      <c r="JY15" s="289"/>
      <c r="JZ15" s="289"/>
      <c r="KA15" s="289"/>
      <c r="KB15" s="289"/>
      <c r="KC15" s="289"/>
      <c r="KD15" s="289"/>
      <c r="KE15" s="289"/>
      <c r="KF15" s="289"/>
      <c r="KG15" s="289"/>
      <c r="KH15" s="289"/>
      <c r="KI15" s="289"/>
      <c r="KJ15" s="289"/>
      <c r="KK15" s="289"/>
      <c r="KL15" s="289"/>
      <c r="KM15" s="289"/>
      <c r="KN15" s="289"/>
      <c r="KO15" s="289"/>
      <c r="KP15" s="289"/>
      <c r="KQ15" s="289"/>
      <c r="KR15" s="289"/>
      <c r="KS15" s="289"/>
      <c r="KT15" s="289"/>
      <c r="KU15" s="289"/>
      <c r="KV15" s="289"/>
      <c r="KW15" s="289"/>
      <c r="KX15" s="289"/>
      <c r="KY15" s="289"/>
      <c r="KZ15" s="289"/>
      <c r="LA15" s="289"/>
      <c r="LB15" s="289"/>
      <c r="LC15" s="289"/>
      <c r="LD15" s="289"/>
      <c r="LE15" s="289"/>
      <c r="LF15" s="289"/>
      <c r="LG15" s="289"/>
      <c r="LH15" s="289"/>
      <c r="LI15" s="289"/>
      <c r="LJ15" s="289"/>
      <c r="LK15" s="289"/>
      <c r="LL15" s="289"/>
      <c r="LM15" s="289"/>
      <c r="LN15" s="289"/>
      <c r="LO15" s="289"/>
      <c r="LP15" s="289"/>
      <c r="LQ15" s="289"/>
      <c r="LR15" s="289"/>
      <c r="LS15" s="289"/>
      <c r="LT15" s="289"/>
      <c r="LU15" s="289"/>
      <c r="LV15" s="289"/>
      <c r="LW15" s="289"/>
      <c r="LX15" s="289"/>
      <c r="LY15" s="289"/>
      <c r="LZ15" s="289"/>
      <c r="MA15" s="289"/>
      <c r="MB15" s="289"/>
      <c r="MC15" s="289"/>
      <c r="MD15" s="289"/>
      <c r="ME15" s="289"/>
      <c r="MF15" s="289"/>
      <c r="MG15" s="289"/>
      <c r="MH15" s="289"/>
      <c r="MI15" s="289"/>
      <c r="MJ15" s="289"/>
      <c r="MK15" s="289"/>
      <c r="ML15" s="289"/>
      <c r="MM15" s="289"/>
      <c r="MN15" s="289"/>
      <c r="MO15" s="289"/>
      <c r="MP15" s="289"/>
      <c r="MQ15" s="289"/>
      <c r="MR15" s="289"/>
      <c r="MS15" s="289"/>
      <c r="MT15" s="289"/>
      <c r="MU15" s="289"/>
      <c r="MV15" s="289"/>
      <c r="MW15" s="289"/>
      <c r="MX15" s="289"/>
      <c r="MY15" s="289"/>
      <c r="MZ15" s="289"/>
      <c r="NA15" s="289"/>
      <c r="NB15" s="289"/>
      <c r="NC15" s="289"/>
      <c r="ND15" s="289"/>
      <c r="NE15" s="289"/>
      <c r="NF15" s="289"/>
      <c r="NG15" s="289"/>
      <c r="NH15" s="289"/>
      <c r="NI15" s="289"/>
      <c r="NJ15" s="289"/>
      <c r="NK15" s="289"/>
      <c r="NL15" s="289"/>
      <c r="NM15" s="289"/>
      <c r="NN15" s="289"/>
      <c r="NO15" s="289"/>
      <c r="NP15" s="289"/>
      <c r="NQ15" s="289"/>
      <c r="NR15" s="289"/>
      <c r="NS15" s="289"/>
      <c r="NT15" s="289"/>
      <c r="NU15" s="289"/>
      <c r="NV15" s="289"/>
      <c r="NW15" s="289"/>
      <c r="NX15" s="289"/>
      <c r="NY15" s="289"/>
      <c r="NZ15" s="289"/>
      <c r="OA15" s="289"/>
      <c r="OB15" s="289"/>
      <c r="OC15" s="289"/>
    </row>
    <row r="16" spans="1:393" s="151" customFormat="1" ht="15" customHeight="1" x14ac:dyDescent="0.25">
      <c r="A16" s="669" t="s">
        <v>11</v>
      </c>
      <c r="B16" s="78">
        <v>11447</v>
      </c>
      <c r="C16" s="153">
        <v>991715</v>
      </c>
      <c r="D16" s="78">
        <v>1970</v>
      </c>
      <c r="E16" s="153">
        <v>175934</v>
      </c>
      <c r="F16" s="78">
        <v>254</v>
      </c>
      <c r="G16" s="153">
        <v>49837</v>
      </c>
      <c r="H16" s="78">
        <f t="shared" si="0"/>
        <v>13671</v>
      </c>
      <c r="I16" s="78">
        <f t="shared" si="1"/>
        <v>1217486</v>
      </c>
      <c r="J16" s="672" t="s">
        <v>21</v>
      </c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  <c r="IX16" s="289"/>
      <c r="IY16" s="289"/>
      <c r="IZ16" s="289"/>
      <c r="JA16" s="289"/>
      <c r="JB16" s="289"/>
      <c r="JC16" s="289"/>
      <c r="JD16" s="289"/>
      <c r="JE16" s="289"/>
      <c r="JF16" s="289"/>
      <c r="JG16" s="289"/>
      <c r="JH16" s="289"/>
      <c r="JI16" s="289"/>
      <c r="JJ16" s="289"/>
      <c r="JK16" s="289"/>
      <c r="JL16" s="289"/>
      <c r="JM16" s="289"/>
      <c r="JN16" s="289"/>
      <c r="JO16" s="289"/>
      <c r="JP16" s="289"/>
      <c r="JQ16" s="289"/>
      <c r="JR16" s="289"/>
      <c r="JS16" s="289"/>
      <c r="JT16" s="289"/>
      <c r="JU16" s="289"/>
      <c r="JV16" s="289"/>
      <c r="JW16" s="289"/>
      <c r="JX16" s="289"/>
      <c r="JY16" s="289"/>
      <c r="JZ16" s="289"/>
      <c r="KA16" s="289"/>
      <c r="KB16" s="289"/>
      <c r="KC16" s="289"/>
      <c r="KD16" s="289"/>
      <c r="KE16" s="289"/>
      <c r="KF16" s="289"/>
      <c r="KG16" s="289"/>
      <c r="KH16" s="289"/>
      <c r="KI16" s="289"/>
      <c r="KJ16" s="289"/>
      <c r="KK16" s="289"/>
      <c r="KL16" s="289"/>
      <c r="KM16" s="289"/>
      <c r="KN16" s="289"/>
      <c r="KO16" s="289"/>
      <c r="KP16" s="289"/>
      <c r="KQ16" s="289"/>
      <c r="KR16" s="289"/>
      <c r="KS16" s="289"/>
      <c r="KT16" s="289"/>
      <c r="KU16" s="289"/>
      <c r="KV16" s="289"/>
      <c r="KW16" s="289"/>
      <c r="KX16" s="289"/>
      <c r="KY16" s="289"/>
      <c r="KZ16" s="289"/>
      <c r="LA16" s="289"/>
      <c r="LB16" s="289"/>
      <c r="LC16" s="289"/>
      <c r="LD16" s="289"/>
      <c r="LE16" s="289"/>
      <c r="LF16" s="289"/>
      <c r="LG16" s="289"/>
      <c r="LH16" s="289"/>
      <c r="LI16" s="289"/>
      <c r="LJ16" s="289"/>
      <c r="LK16" s="289"/>
      <c r="LL16" s="289"/>
      <c r="LM16" s="289"/>
      <c r="LN16" s="289"/>
      <c r="LO16" s="289"/>
      <c r="LP16" s="289"/>
      <c r="LQ16" s="289"/>
      <c r="LR16" s="289"/>
      <c r="LS16" s="289"/>
      <c r="LT16" s="289"/>
      <c r="LU16" s="289"/>
      <c r="LV16" s="289"/>
      <c r="LW16" s="289"/>
      <c r="LX16" s="289"/>
      <c r="LY16" s="289"/>
      <c r="LZ16" s="289"/>
      <c r="MA16" s="289"/>
      <c r="MB16" s="289"/>
      <c r="MC16" s="289"/>
      <c r="MD16" s="289"/>
      <c r="ME16" s="289"/>
      <c r="MF16" s="289"/>
      <c r="MG16" s="289"/>
      <c r="MH16" s="289"/>
      <c r="MI16" s="289"/>
      <c r="MJ16" s="289"/>
      <c r="MK16" s="289"/>
      <c r="ML16" s="289"/>
      <c r="MM16" s="289"/>
      <c r="MN16" s="289"/>
      <c r="MO16" s="289"/>
      <c r="MP16" s="289"/>
      <c r="MQ16" s="289"/>
      <c r="MR16" s="289"/>
      <c r="MS16" s="289"/>
      <c r="MT16" s="289"/>
      <c r="MU16" s="289"/>
      <c r="MV16" s="289"/>
      <c r="MW16" s="289"/>
      <c r="MX16" s="289"/>
      <c r="MY16" s="289"/>
      <c r="MZ16" s="289"/>
      <c r="NA16" s="289"/>
      <c r="NB16" s="289"/>
      <c r="NC16" s="289"/>
      <c r="ND16" s="289"/>
      <c r="NE16" s="289"/>
      <c r="NF16" s="289"/>
      <c r="NG16" s="289"/>
      <c r="NH16" s="289"/>
      <c r="NI16" s="289"/>
      <c r="NJ16" s="289"/>
      <c r="NK16" s="289"/>
      <c r="NL16" s="289"/>
      <c r="NM16" s="289"/>
      <c r="NN16" s="289"/>
      <c r="NO16" s="289"/>
      <c r="NP16" s="289"/>
      <c r="NQ16" s="289"/>
      <c r="NR16" s="289"/>
      <c r="NS16" s="289"/>
      <c r="NT16" s="289"/>
      <c r="NU16" s="289"/>
      <c r="NV16" s="289"/>
      <c r="NW16" s="289"/>
      <c r="NX16" s="289"/>
      <c r="NY16" s="289"/>
      <c r="NZ16" s="289"/>
      <c r="OA16" s="289"/>
      <c r="OB16" s="289"/>
      <c r="OC16" s="289"/>
    </row>
    <row r="17" spans="1:393" s="290" customFormat="1" ht="15" customHeight="1" x14ac:dyDescent="0.25">
      <c r="A17" s="14" t="s">
        <v>2</v>
      </c>
      <c r="B17" s="75">
        <v>7433</v>
      </c>
      <c r="C17" s="76">
        <v>663437</v>
      </c>
      <c r="D17" s="75">
        <v>485</v>
      </c>
      <c r="E17" s="76">
        <v>60839</v>
      </c>
      <c r="F17" s="75">
        <v>157</v>
      </c>
      <c r="G17" s="76">
        <v>39785</v>
      </c>
      <c r="H17" s="75">
        <f t="shared" si="0"/>
        <v>8075</v>
      </c>
      <c r="I17" s="75">
        <f t="shared" si="1"/>
        <v>764061</v>
      </c>
      <c r="J17" s="52" t="s">
        <v>14</v>
      </c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  <c r="IX17" s="289"/>
      <c r="IY17" s="289"/>
      <c r="IZ17" s="289"/>
      <c r="JA17" s="289"/>
      <c r="JB17" s="289"/>
      <c r="JC17" s="289"/>
      <c r="JD17" s="289"/>
      <c r="JE17" s="289"/>
      <c r="JF17" s="289"/>
      <c r="JG17" s="289"/>
      <c r="JH17" s="289"/>
      <c r="JI17" s="289"/>
      <c r="JJ17" s="289"/>
      <c r="JK17" s="289"/>
      <c r="JL17" s="289"/>
      <c r="JM17" s="289"/>
      <c r="JN17" s="289"/>
      <c r="JO17" s="289"/>
      <c r="JP17" s="289"/>
      <c r="JQ17" s="289"/>
      <c r="JR17" s="289"/>
      <c r="JS17" s="289"/>
      <c r="JT17" s="289"/>
      <c r="JU17" s="289"/>
      <c r="JV17" s="289"/>
      <c r="JW17" s="289"/>
      <c r="JX17" s="289"/>
      <c r="JY17" s="289"/>
      <c r="JZ17" s="289"/>
      <c r="KA17" s="289"/>
      <c r="KB17" s="289"/>
      <c r="KC17" s="289"/>
      <c r="KD17" s="289"/>
      <c r="KE17" s="289"/>
      <c r="KF17" s="289"/>
      <c r="KG17" s="289"/>
      <c r="KH17" s="289"/>
      <c r="KI17" s="289"/>
      <c r="KJ17" s="289"/>
      <c r="KK17" s="289"/>
      <c r="KL17" s="289"/>
      <c r="KM17" s="289"/>
      <c r="KN17" s="289"/>
      <c r="KO17" s="289"/>
      <c r="KP17" s="289"/>
      <c r="KQ17" s="289"/>
      <c r="KR17" s="289"/>
      <c r="KS17" s="289"/>
      <c r="KT17" s="289"/>
      <c r="KU17" s="289"/>
      <c r="KV17" s="289"/>
      <c r="KW17" s="289"/>
      <c r="KX17" s="289"/>
      <c r="KY17" s="289"/>
      <c r="KZ17" s="289"/>
      <c r="LA17" s="289"/>
      <c r="LB17" s="289"/>
      <c r="LC17" s="289"/>
      <c r="LD17" s="289"/>
      <c r="LE17" s="289"/>
      <c r="LF17" s="289"/>
      <c r="LG17" s="289"/>
      <c r="LH17" s="289"/>
      <c r="LI17" s="289"/>
      <c r="LJ17" s="289"/>
      <c r="LK17" s="289"/>
      <c r="LL17" s="289"/>
      <c r="LM17" s="289"/>
      <c r="LN17" s="289"/>
      <c r="LO17" s="289"/>
      <c r="LP17" s="289"/>
      <c r="LQ17" s="289"/>
      <c r="LR17" s="289"/>
      <c r="LS17" s="289"/>
      <c r="LT17" s="289"/>
      <c r="LU17" s="289"/>
      <c r="LV17" s="289"/>
      <c r="LW17" s="289"/>
      <c r="LX17" s="289"/>
      <c r="LY17" s="289"/>
      <c r="LZ17" s="289"/>
      <c r="MA17" s="289"/>
      <c r="MB17" s="289"/>
      <c r="MC17" s="289"/>
      <c r="MD17" s="289"/>
      <c r="ME17" s="289"/>
      <c r="MF17" s="289"/>
      <c r="MG17" s="289"/>
      <c r="MH17" s="289"/>
      <c r="MI17" s="289"/>
      <c r="MJ17" s="289"/>
      <c r="MK17" s="289"/>
      <c r="ML17" s="289"/>
      <c r="MM17" s="289"/>
      <c r="MN17" s="289"/>
      <c r="MO17" s="289"/>
      <c r="MP17" s="289"/>
      <c r="MQ17" s="289"/>
      <c r="MR17" s="289"/>
      <c r="MS17" s="289"/>
      <c r="MT17" s="289"/>
      <c r="MU17" s="289"/>
      <c r="MV17" s="289"/>
      <c r="MW17" s="289"/>
      <c r="MX17" s="289"/>
      <c r="MY17" s="289"/>
      <c r="MZ17" s="289"/>
      <c r="NA17" s="289"/>
      <c r="NB17" s="289"/>
      <c r="NC17" s="289"/>
      <c r="ND17" s="289"/>
      <c r="NE17" s="289"/>
      <c r="NF17" s="289"/>
      <c r="NG17" s="289"/>
      <c r="NH17" s="289"/>
      <c r="NI17" s="289"/>
      <c r="NJ17" s="289"/>
      <c r="NK17" s="289"/>
      <c r="NL17" s="289"/>
      <c r="NM17" s="289"/>
      <c r="NN17" s="289"/>
      <c r="NO17" s="289"/>
      <c r="NP17" s="289"/>
      <c r="NQ17" s="289"/>
      <c r="NR17" s="289"/>
      <c r="NS17" s="289"/>
      <c r="NT17" s="289"/>
      <c r="NU17" s="289"/>
      <c r="NV17" s="289"/>
      <c r="NW17" s="289"/>
      <c r="NX17" s="289"/>
      <c r="NY17" s="289"/>
      <c r="NZ17" s="289"/>
      <c r="OA17" s="289"/>
      <c r="OB17" s="289"/>
      <c r="OC17" s="289"/>
    </row>
    <row r="18" spans="1:393" s="151" customFormat="1" ht="15" customHeight="1" x14ac:dyDescent="0.25">
      <c r="A18" s="669" t="s">
        <v>7</v>
      </c>
      <c r="B18" s="78">
        <v>28819</v>
      </c>
      <c r="C18" s="153">
        <v>2911439</v>
      </c>
      <c r="D18" s="78">
        <v>6212</v>
      </c>
      <c r="E18" s="153">
        <v>663432</v>
      </c>
      <c r="F18" s="78">
        <v>602</v>
      </c>
      <c r="G18" s="153">
        <v>106108</v>
      </c>
      <c r="H18" s="78">
        <f t="shared" si="0"/>
        <v>35633</v>
      </c>
      <c r="I18" s="78">
        <f t="shared" si="1"/>
        <v>3680979</v>
      </c>
      <c r="J18" s="672" t="s">
        <v>17</v>
      </c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  <c r="IX18" s="289"/>
      <c r="IY18" s="289"/>
      <c r="IZ18" s="289"/>
      <c r="JA18" s="289"/>
      <c r="JB18" s="289"/>
      <c r="JC18" s="289"/>
      <c r="JD18" s="289"/>
      <c r="JE18" s="289"/>
      <c r="JF18" s="289"/>
      <c r="JG18" s="289"/>
      <c r="JH18" s="289"/>
      <c r="JI18" s="289"/>
      <c r="JJ18" s="289"/>
      <c r="JK18" s="289"/>
      <c r="JL18" s="289"/>
      <c r="JM18" s="289"/>
      <c r="JN18" s="289"/>
      <c r="JO18" s="289"/>
      <c r="JP18" s="289"/>
      <c r="JQ18" s="289"/>
      <c r="JR18" s="289"/>
      <c r="JS18" s="289"/>
      <c r="JT18" s="289"/>
      <c r="JU18" s="289"/>
      <c r="JV18" s="289"/>
      <c r="JW18" s="289"/>
      <c r="JX18" s="289"/>
      <c r="JY18" s="289"/>
      <c r="JZ18" s="289"/>
      <c r="KA18" s="289"/>
      <c r="KB18" s="289"/>
      <c r="KC18" s="289"/>
      <c r="KD18" s="289"/>
      <c r="KE18" s="289"/>
      <c r="KF18" s="289"/>
      <c r="KG18" s="289"/>
      <c r="KH18" s="289"/>
      <c r="KI18" s="289"/>
      <c r="KJ18" s="289"/>
      <c r="KK18" s="289"/>
      <c r="KL18" s="289"/>
      <c r="KM18" s="289"/>
      <c r="KN18" s="289"/>
      <c r="KO18" s="289"/>
      <c r="KP18" s="289"/>
      <c r="KQ18" s="289"/>
      <c r="KR18" s="289"/>
      <c r="KS18" s="289"/>
      <c r="KT18" s="289"/>
      <c r="KU18" s="289"/>
      <c r="KV18" s="289"/>
      <c r="KW18" s="289"/>
      <c r="KX18" s="289"/>
      <c r="KY18" s="289"/>
      <c r="KZ18" s="289"/>
      <c r="LA18" s="289"/>
      <c r="LB18" s="289"/>
      <c r="LC18" s="289"/>
      <c r="LD18" s="289"/>
      <c r="LE18" s="289"/>
      <c r="LF18" s="289"/>
      <c r="LG18" s="289"/>
      <c r="LH18" s="289"/>
      <c r="LI18" s="289"/>
      <c r="LJ18" s="289"/>
      <c r="LK18" s="289"/>
      <c r="LL18" s="289"/>
      <c r="LM18" s="289"/>
      <c r="LN18" s="289"/>
      <c r="LO18" s="289"/>
      <c r="LP18" s="289"/>
      <c r="LQ18" s="289"/>
      <c r="LR18" s="289"/>
      <c r="LS18" s="289"/>
      <c r="LT18" s="289"/>
      <c r="LU18" s="289"/>
      <c r="LV18" s="289"/>
      <c r="LW18" s="289"/>
      <c r="LX18" s="289"/>
      <c r="LY18" s="289"/>
      <c r="LZ18" s="289"/>
      <c r="MA18" s="289"/>
      <c r="MB18" s="289"/>
      <c r="MC18" s="289"/>
      <c r="MD18" s="289"/>
      <c r="ME18" s="289"/>
      <c r="MF18" s="289"/>
      <c r="MG18" s="289"/>
      <c r="MH18" s="289"/>
      <c r="MI18" s="289"/>
      <c r="MJ18" s="289"/>
      <c r="MK18" s="289"/>
      <c r="ML18" s="289"/>
      <c r="MM18" s="289"/>
      <c r="MN18" s="289"/>
      <c r="MO18" s="289"/>
      <c r="MP18" s="289"/>
      <c r="MQ18" s="289"/>
      <c r="MR18" s="289"/>
      <c r="MS18" s="289"/>
      <c r="MT18" s="289"/>
      <c r="MU18" s="289"/>
      <c r="MV18" s="289"/>
      <c r="MW18" s="289"/>
      <c r="MX18" s="289"/>
      <c r="MY18" s="289"/>
      <c r="MZ18" s="289"/>
      <c r="NA18" s="289"/>
      <c r="NB18" s="289"/>
      <c r="NC18" s="289"/>
      <c r="ND18" s="289"/>
      <c r="NE18" s="289"/>
      <c r="NF18" s="289"/>
      <c r="NG18" s="289"/>
      <c r="NH18" s="289"/>
      <c r="NI18" s="289"/>
      <c r="NJ18" s="289"/>
      <c r="NK18" s="289"/>
      <c r="NL18" s="289"/>
      <c r="NM18" s="289"/>
      <c r="NN18" s="289"/>
      <c r="NO18" s="289"/>
      <c r="NP18" s="289"/>
      <c r="NQ18" s="289"/>
      <c r="NR18" s="289"/>
      <c r="NS18" s="289"/>
      <c r="NT18" s="289"/>
      <c r="NU18" s="289"/>
      <c r="NV18" s="289"/>
      <c r="NW18" s="289"/>
      <c r="NX18" s="289"/>
      <c r="NY18" s="289"/>
      <c r="NZ18" s="289"/>
      <c r="OA18" s="289"/>
      <c r="OB18" s="289"/>
      <c r="OC18" s="289"/>
    </row>
    <row r="19" spans="1:393" s="290" customFormat="1" ht="15" customHeight="1" x14ac:dyDescent="0.25">
      <c r="A19" s="14" t="s">
        <v>8</v>
      </c>
      <c r="B19" s="75">
        <v>21694</v>
      </c>
      <c r="C19" s="76">
        <v>2088307</v>
      </c>
      <c r="D19" s="75">
        <v>4199</v>
      </c>
      <c r="E19" s="76">
        <v>435760</v>
      </c>
      <c r="F19" s="75">
        <v>410</v>
      </c>
      <c r="G19" s="76">
        <v>82617</v>
      </c>
      <c r="H19" s="75">
        <f t="shared" si="0"/>
        <v>26303</v>
      </c>
      <c r="I19" s="75">
        <f t="shared" si="1"/>
        <v>2606684</v>
      </c>
      <c r="J19" s="52" t="s">
        <v>18</v>
      </c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  <c r="IX19" s="289"/>
      <c r="IY19" s="289"/>
      <c r="IZ19" s="289"/>
      <c r="JA19" s="289"/>
      <c r="JB19" s="289"/>
      <c r="JC19" s="289"/>
      <c r="JD19" s="289"/>
      <c r="JE19" s="289"/>
      <c r="JF19" s="289"/>
      <c r="JG19" s="289"/>
      <c r="JH19" s="289"/>
      <c r="JI19" s="289"/>
      <c r="JJ19" s="289"/>
      <c r="JK19" s="289"/>
      <c r="JL19" s="289"/>
      <c r="JM19" s="289"/>
      <c r="JN19" s="289"/>
      <c r="JO19" s="289"/>
      <c r="JP19" s="289"/>
      <c r="JQ19" s="289"/>
      <c r="JR19" s="289"/>
      <c r="JS19" s="289"/>
      <c r="JT19" s="289"/>
      <c r="JU19" s="289"/>
      <c r="JV19" s="289"/>
      <c r="JW19" s="289"/>
      <c r="JX19" s="289"/>
      <c r="JY19" s="289"/>
      <c r="JZ19" s="289"/>
      <c r="KA19" s="289"/>
      <c r="KB19" s="289"/>
      <c r="KC19" s="289"/>
      <c r="KD19" s="289"/>
      <c r="KE19" s="289"/>
      <c r="KF19" s="289"/>
      <c r="KG19" s="289"/>
      <c r="KH19" s="289"/>
      <c r="KI19" s="289"/>
      <c r="KJ19" s="289"/>
      <c r="KK19" s="289"/>
      <c r="KL19" s="289"/>
      <c r="KM19" s="289"/>
      <c r="KN19" s="289"/>
      <c r="KO19" s="289"/>
      <c r="KP19" s="289"/>
      <c r="KQ19" s="289"/>
      <c r="KR19" s="289"/>
      <c r="KS19" s="289"/>
      <c r="KT19" s="289"/>
      <c r="KU19" s="289"/>
      <c r="KV19" s="289"/>
      <c r="KW19" s="289"/>
      <c r="KX19" s="289"/>
      <c r="KY19" s="289"/>
      <c r="KZ19" s="289"/>
      <c r="LA19" s="289"/>
      <c r="LB19" s="289"/>
      <c r="LC19" s="289"/>
      <c r="LD19" s="289"/>
      <c r="LE19" s="289"/>
      <c r="LF19" s="289"/>
      <c r="LG19" s="289"/>
      <c r="LH19" s="289"/>
      <c r="LI19" s="289"/>
      <c r="LJ19" s="289"/>
      <c r="LK19" s="289"/>
      <c r="LL19" s="289"/>
      <c r="LM19" s="289"/>
      <c r="LN19" s="289"/>
      <c r="LO19" s="289"/>
      <c r="LP19" s="289"/>
      <c r="LQ19" s="289"/>
      <c r="LR19" s="289"/>
      <c r="LS19" s="289"/>
      <c r="LT19" s="289"/>
      <c r="LU19" s="289"/>
      <c r="LV19" s="289"/>
      <c r="LW19" s="289"/>
      <c r="LX19" s="289"/>
      <c r="LY19" s="289"/>
      <c r="LZ19" s="289"/>
      <c r="MA19" s="289"/>
      <c r="MB19" s="289"/>
      <c r="MC19" s="289"/>
      <c r="MD19" s="289"/>
      <c r="ME19" s="289"/>
      <c r="MF19" s="289"/>
      <c r="MG19" s="289"/>
      <c r="MH19" s="289"/>
      <c r="MI19" s="289"/>
      <c r="MJ19" s="289"/>
      <c r="MK19" s="289"/>
      <c r="ML19" s="289"/>
      <c r="MM19" s="289"/>
      <c r="MN19" s="289"/>
      <c r="MO19" s="289"/>
      <c r="MP19" s="289"/>
      <c r="MQ19" s="289"/>
      <c r="MR19" s="289"/>
      <c r="MS19" s="289"/>
      <c r="MT19" s="289"/>
      <c r="MU19" s="289"/>
      <c r="MV19" s="289"/>
      <c r="MW19" s="289"/>
      <c r="MX19" s="289"/>
      <c r="MY19" s="289"/>
      <c r="MZ19" s="289"/>
      <c r="NA19" s="289"/>
      <c r="NB19" s="289"/>
      <c r="NC19" s="289"/>
      <c r="ND19" s="289"/>
      <c r="NE19" s="289"/>
      <c r="NF19" s="289"/>
      <c r="NG19" s="289"/>
      <c r="NH19" s="289"/>
      <c r="NI19" s="289"/>
      <c r="NJ19" s="289"/>
      <c r="NK19" s="289"/>
      <c r="NL19" s="289"/>
      <c r="NM19" s="289"/>
      <c r="NN19" s="289"/>
      <c r="NO19" s="289"/>
      <c r="NP19" s="289"/>
      <c r="NQ19" s="289"/>
      <c r="NR19" s="289"/>
      <c r="NS19" s="289"/>
      <c r="NT19" s="289"/>
      <c r="NU19" s="289"/>
      <c r="NV19" s="289"/>
      <c r="NW19" s="289"/>
      <c r="NX19" s="289"/>
      <c r="NY19" s="289"/>
      <c r="NZ19" s="289"/>
      <c r="OA19" s="289"/>
      <c r="OB19" s="289"/>
      <c r="OC19" s="289"/>
    </row>
    <row r="20" spans="1:393" s="151" customFormat="1" ht="15" customHeight="1" x14ac:dyDescent="0.25">
      <c r="A20" s="669" t="s">
        <v>9</v>
      </c>
      <c r="B20" s="78">
        <v>20222</v>
      </c>
      <c r="C20" s="153">
        <v>1745210</v>
      </c>
      <c r="D20" s="78">
        <v>2603</v>
      </c>
      <c r="E20" s="153">
        <v>256827</v>
      </c>
      <c r="F20" s="78">
        <v>122</v>
      </c>
      <c r="G20" s="153">
        <v>7424</v>
      </c>
      <c r="H20" s="78">
        <f t="shared" si="0"/>
        <v>22947</v>
      </c>
      <c r="I20" s="78">
        <f t="shared" si="1"/>
        <v>2009461</v>
      </c>
      <c r="J20" s="672" t="s">
        <v>19</v>
      </c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  <c r="IX20" s="289"/>
      <c r="IY20" s="289"/>
      <c r="IZ20" s="289"/>
      <c r="JA20" s="289"/>
      <c r="JB20" s="289"/>
      <c r="JC20" s="289"/>
      <c r="JD20" s="289"/>
      <c r="JE20" s="289"/>
      <c r="JF20" s="289"/>
      <c r="JG20" s="289"/>
      <c r="JH20" s="289"/>
      <c r="JI20" s="289"/>
      <c r="JJ20" s="289"/>
      <c r="JK20" s="289"/>
      <c r="JL20" s="289"/>
      <c r="JM20" s="289"/>
      <c r="JN20" s="289"/>
      <c r="JO20" s="289"/>
      <c r="JP20" s="289"/>
      <c r="JQ20" s="289"/>
      <c r="JR20" s="289"/>
      <c r="JS20" s="289"/>
      <c r="JT20" s="289"/>
      <c r="JU20" s="289"/>
      <c r="JV20" s="289"/>
      <c r="JW20" s="289"/>
      <c r="JX20" s="289"/>
      <c r="JY20" s="289"/>
      <c r="JZ20" s="289"/>
      <c r="KA20" s="289"/>
      <c r="KB20" s="289"/>
      <c r="KC20" s="289"/>
      <c r="KD20" s="289"/>
      <c r="KE20" s="289"/>
      <c r="KF20" s="289"/>
      <c r="KG20" s="289"/>
      <c r="KH20" s="289"/>
      <c r="KI20" s="289"/>
      <c r="KJ20" s="289"/>
      <c r="KK20" s="289"/>
      <c r="KL20" s="289"/>
      <c r="KM20" s="289"/>
      <c r="KN20" s="289"/>
      <c r="KO20" s="289"/>
      <c r="KP20" s="289"/>
      <c r="KQ20" s="289"/>
      <c r="KR20" s="289"/>
      <c r="KS20" s="289"/>
      <c r="KT20" s="289"/>
      <c r="KU20" s="289"/>
      <c r="KV20" s="289"/>
      <c r="KW20" s="289"/>
      <c r="KX20" s="289"/>
      <c r="KY20" s="289"/>
      <c r="KZ20" s="289"/>
      <c r="LA20" s="289"/>
      <c r="LB20" s="289"/>
      <c r="LC20" s="289"/>
      <c r="LD20" s="289"/>
      <c r="LE20" s="289"/>
      <c r="LF20" s="289"/>
      <c r="LG20" s="289"/>
      <c r="LH20" s="289"/>
      <c r="LI20" s="289"/>
      <c r="LJ20" s="289"/>
      <c r="LK20" s="289"/>
      <c r="LL20" s="289"/>
      <c r="LM20" s="289"/>
      <c r="LN20" s="289"/>
      <c r="LO20" s="289"/>
      <c r="LP20" s="289"/>
      <c r="LQ20" s="289"/>
      <c r="LR20" s="289"/>
      <c r="LS20" s="289"/>
      <c r="LT20" s="289"/>
      <c r="LU20" s="289"/>
      <c r="LV20" s="289"/>
      <c r="LW20" s="289"/>
      <c r="LX20" s="289"/>
      <c r="LY20" s="289"/>
      <c r="LZ20" s="289"/>
      <c r="MA20" s="289"/>
      <c r="MB20" s="289"/>
      <c r="MC20" s="289"/>
      <c r="MD20" s="289"/>
      <c r="ME20" s="289"/>
      <c r="MF20" s="289"/>
      <c r="MG20" s="289"/>
      <c r="MH20" s="289"/>
      <c r="MI20" s="289"/>
      <c r="MJ20" s="289"/>
      <c r="MK20" s="289"/>
      <c r="ML20" s="289"/>
      <c r="MM20" s="289"/>
      <c r="MN20" s="289"/>
      <c r="MO20" s="289"/>
      <c r="MP20" s="289"/>
      <c r="MQ20" s="289"/>
      <c r="MR20" s="289"/>
      <c r="MS20" s="289"/>
      <c r="MT20" s="289"/>
      <c r="MU20" s="289"/>
      <c r="MV20" s="289"/>
      <c r="MW20" s="289"/>
      <c r="MX20" s="289"/>
      <c r="MY20" s="289"/>
      <c r="MZ20" s="289"/>
      <c r="NA20" s="289"/>
      <c r="NB20" s="289"/>
      <c r="NC20" s="289"/>
      <c r="ND20" s="289"/>
      <c r="NE20" s="289"/>
      <c r="NF20" s="289"/>
      <c r="NG20" s="289"/>
      <c r="NH20" s="289"/>
      <c r="NI20" s="289"/>
      <c r="NJ20" s="289"/>
      <c r="NK20" s="289"/>
      <c r="NL20" s="289"/>
      <c r="NM20" s="289"/>
      <c r="NN20" s="289"/>
      <c r="NO20" s="289"/>
      <c r="NP20" s="289"/>
      <c r="NQ20" s="289"/>
      <c r="NR20" s="289"/>
      <c r="NS20" s="289"/>
      <c r="NT20" s="289"/>
      <c r="NU20" s="289"/>
      <c r="NV20" s="289"/>
      <c r="NW20" s="289"/>
      <c r="NX20" s="289"/>
      <c r="NY20" s="289"/>
      <c r="NZ20" s="289"/>
      <c r="OA20" s="289"/>
      <c r="OB20" s="289"/>
      <c r="OC20" s="289"/>
    </row>
    <row r="21" spans="1:393" s="290" customFormat="1" ht="15" customHeight="1" x14ac:dyDescent="0.25">
      <c r="A21" s="14" t="s">
        <v>10</v>
      </c>
      <c r="B21" s="75">
        <v>16268</v>
      </c>
      <c r="C21" s="76">
        <v>1407177</v>
      </c>
      <c r="D21" s="75">
        <v>2986</v>
      </c>
      <c r="E21" s="76">
        <v>289876</v>
      </c>
      <c r="F21" s="75">
        <v>2369</v>
      </c>
      <c r="G21" s="76">
        <v>342668</v>
      </c>
      <c r="H21" s="75">
        <f t="shared" si="0"/>
        <v>21623</v>
      </c>
      <c r="I21" s="75">
        <f t="shared" si="1"/>
        <v>2039721</v>
      </c>
      <c r="J21" s="52" t="s">
        <v>20</v>
      </c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  <c r="IX21" s="289"/>
      <c r="IY21" s="289"/>
      <c r="IZ21" s="289"/>
      <c r="JA21" s="289"/>
      <c r="JB21" s="289"/>
      <c r="JC21" s="289"/>
      <c r="JD21" s="289"/>
      <c r="JE21" s="289"/>
      <c r="JF21" s="289"/>
      <c r="JG21" s="289"/>
      <c r="JH21" s="289"/>
      <c r="JI21" s="289"/>
      <c r="JJ21" s="289"/>
      <c r="JK21" s="289"/>
      <c r="JL21" s="289"/>
      <c r="JM21" s="289"/>
      <c r="JN21" s="289"/>
      <c r="JO21" s="289"/>
      <c r="JP21" s="289"/>
      <c r="JQ21" s="289"/>
      <c r="JR21" s="289"/>
      <c r="JS21" s="289"/>
      <c r="JT21" s="289"/>
      <c r="JU21" s="289"/>
      <c r="JV21" s="289"/>
      <c r="JW21" s="289"/>
      <c r="JX21" s="289"/>
      <c r="JY21" s="289"/>
      <c r="JZ21" s="289"/>
      <c r="KA21" s="289"/>
      <c r="KB21" s="289"/>
      <c r="KC21" s="289"/>
      <c r="KD21" s="289"/>
      <c r="KE21" s="289"/>
      <c r="KF21" s="289"/>
      <c r="KG21" s="289"/>
      <c r="KH21" s="289"/>
      <c r="KI21" s="289"/>
      <c r="KJ21" s="289"/>
      <c r="KK21" s="289"/>
      <c r="KL21" s="289"/>
      <c r="KM21" s="289"/>
      <c r="KN21" s="289"/>
      <c r="KO21" s="289"/>
      <c r="KP21" s="289"/>
      <c r="KQ21" s="289"/>
      <c r="KR21" s="289"/>
      <c r="KS21" s="289"/>
      <c r="KT21" s="289"/>
      <c r="KU21" s="289"/>
      <c r="KV21" s="289"/>
      <c r="KW21" s="289"/>
      <c r="KX21" s="289"/>
      <c r="KY21" s="289"/>
      <c r="KZ21" s="289"/>
      <c r="LA21" s="289"/>
      <c r="LB21" s="289"/>
      <c r="LC21" s="289"/>
      <c r="LD21" s="289"/>
      <c r="LE21" s="289"/>
      <c r="LF21" s="289"/>
      <c r="LG21" s="289"/>
      <c r="LH21" s="289"/>
      <c r="LI21" s="289"/>
      <c r="LJ21" s="289"/>
      <c r="LK21" s="289"/>
      <c r="LL21" s="289"/>
      <c r="LM21" s="289"/>
      <c r="LN21" s="289"/>
      <c r="LO21" s="289"/>
      <c r="LP21" s="289"/>
      <c r="LQ21" s="289"/>
      <c r="LR21" s="289"/>
      <c r="LS21" s="289"/>
      <c r="LT21" s="289"/>
      <c r="LU21" s="289"/>
      <c r="LV21" s="289"/>
      <c r="LW21" s="289"/>
      <c r="LX21" s="289"/>
      <c r="LY21" s="289"/>
      <c r="LZ21" s="289"/>
      <c r="MA21" s="289"/>
      <c r="MB21" s="289"/>
      <c r="MC21" s="289"/>
      <c r="MD21" s="289"/>
      <c r="ME21" s="289"/>
      <c r="MF21" s="289"/>
      <c r="MG21" s="289"/>
      <c r="MH21" s="289"/>
      <c r="MI21" s="289"/>
      <c r="MJ21" s="289"/>
      <c r="MK21" s="289"/>
      <c r="ML21" s="289"/>
      <c r="MM21" s="289"/>
      <c r="MN21" s="289"/>
      <c r="MO21" s="289"/>
      <c r="MP21" s="289"/>
      <c r="MQ21" s="289"/>
      <c r="MR21" s="289"/>
      <c r="MS21" s="289"/>
      <c r="MT21" s="289"/>
      <c r="MU21" s="289"/>
      <c r="MV21" s="289"/>
      <c r="MW21" s="289"/>
      <c r="MX21" s="289"/>
      <c r="MY21" s="289"/>
      <c r="MZ21" s="289"/>
      <c r="NA21" s="289"/>
      <c r="NB21" s="289"/>
      <c r="NC21" s="289"/>
      <c r="ND21" s="289"/>
      <c r="NE21" s="289"/>
      <c r="NF21" s="289"/>
      <c r="NG21" s="289"/>
      <c r="NH21" s="289"/>
      <c r="NI21" s="289"/>
      <c r="NJ21" s="289"/>
      <c r="NK21" s="289"/>
      <c r="NL21" s="289"/>
      <c r="NM21" s="289"/>
      <c r="NN21" s="289"/>
      <c r="NO21" s="289"/>
      <c r="NP21" s="289"/>
      <c r="NQ21" s="289"/>
      <c r="NR21" s="289"/>
      <c r="NS21" s="289"/>
      <c r="NT21" s="289"/>
      <c r="NU21" s="289"/>
      <c r="NV21" s="289"/>
      <c r="NW21" s="289"/>
      <c r="NX21" s="289"/>
      <c r="NY21" s="289"/>
      <c r="NZ21" s="289"/>
      <c r="OA21" s="289"/>
      <c r="OB21" s="289"/>
      <c r="OC21" s="289"/>
    </row>
    <row r="22" spans="1:393" s="521" customFormat="1" ht="15" customHeight="1" x14ac:dyDescent="0.25">
      <c r="A22" s="669" t="s">
        <v>12</v>
      </c>
      <c r="B22" s="78">
        <v>4159</v>
      </c>
      <c r="C22" s="153">
        <v>352074</v>
      </c>
      <c r="D22" s="78">
        <v>837</v>
      </c>
      <c r="E22" s="153">
        <v>104517</v>
      </c>
      <c r="F22" s="78">
        <v>57</v>
      </c>
      <c r="G22" s="153">
        <v>2967</v>
      </c>
      <c r="H22" s="78">
        <f t="shared" si="0"/>
        <v>5053</v>
      </c>
      <c r="I22" s="78">
        <f t="shared" si="1"/>
        <v>459558</v>
      </c>
      <c r="J22" s="672" t="s">
        <v>25</v>
      </c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410"/>
      <c r="AJ22" s="410"/>
      <c r="AK22" s="410"/>
      <c r="AL22" s="410"/>
      <c r="AM22" s="410"/>
      <c r="AN22" s="410"/>
      <c r="AO22" s="410"/>
      <c r="AP22" s="410"/>
      <c r="AQ22" s="410"/>
      <c r="AR22" s="410"/>
      <c r="AS22" s="410"/>
      <c r="AT22" s="410"/>
      <c r="AU22" s="410"/>
      <c r="AV22" s="410"/>
      <c r="AW22" s="410"/>
      <c r="AX22" s="410"/>
      <c r="AY22" s="410"/>
      <c r="AZ22" s="410"/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410"/>
      <c r="BQ22" s="410"/>
      <c r="BR22" s="410"/>
      <c r="BS22" s="410"/>
      <c r="BT22" s="410"/>
      <c r="BU22" s="410"/>
      <c r="BV22" s="410"/>
      <c r="BW22" s="410"/>
      <c r="BX22" s="410"/>
      <c r="BY22" s="410"/>
      <c r="BZ22" s="410"/>
      <c r="CA22" s="410"/>
      <c r="CB22" s="410"/>
      <c r="CC22" s="410"/>
      <c r="CD22" s="410"/>
      <c r="CE22" s="410"/>
      <c r="CF22" s="410"/>
      <c r="CG22" s="410"/>
      <c r="CH22" s="410"/>
      <c r="CI22" s="410"/>
      <c r="CJ22" s="410"/>
      <c r="CK22" s="410"/>
      <c r="CL22" s="410"/>
      <c r="CM22" s="410"/>
      <c r="CN22" s="410"/>
      <c r="CO22" s="410"/>
      <c r="CP22" s="410"/>
      <c r="CQ22" s="410"/>
      <c r="CR22" s="410"/>
      <c r="CS22" s="410"/>
      <c r="CT22" s="410"/>
      <c r="CU22" s="410"/>
      <c r="CV22" s="410"/>
      <c r="CW22" s="410"/>
      <c r="CX22" s="410"/>
      <c r="CY22" s="410"/>
      <c r="CZ22" s="410"/>
      <c r="DA22" s="410"/>
      <c r="DB22" s="410"/>
      <c r="DC22" s="410"/>
      <c r="DD22" s="410"/>
      <c r="DE22" s="410"/>
      <c r="DF22" s="410"/>
      <c r="DG22" s="410"/>
      <c r="DH22" s="410"/>
      <c r="DI22" s="410"/>
      <c r="DJ22" s="410"/>
      <c r="DK22" s="410"/>
      <c r="DL22" s="410"/>
      <c r="DM22" s="410"/>
      <c r="DN22" s="410"/>
      <c r="DO22" s="410"/>
      <c r="DP22" s="410"/>
      <c r="DQ22" s="410"/>
      <c r="DR22" s="410"/>
      <c r="DS22" s="410"/>
      <c r="DT22" s="410"/>
      <c r="DU22" s="410"/>
      <c r="DV22" s="410"/>
      <c r="DW22" s="410"/>
      <c r="DX22" s="410"/>
      <c r="DY22" s="410"/>
      <c r="DZ22" s="410"/>
      <c r="EA22" s="410"/>
      <c r="EB22" s="410"/>
      <c r="EC22" s="410"/>
      <c r="ED22" s="410"/>
      <c r="EE22" s="410"/>
      <c r="EF22" s="410"/>
      <c r="EG22" s="410"/>
      <c r="EH22" s="410"/>
      <c r="EI22" s="410"/>
      <c r="EJ22" s="410"/>
      <c r="EK22" s="410"/>
      <c r="EL22" s="410"/>
      <c r="EM22" s="410"/>
      <c r="EN22" s="410"/>
      <c r="EO22" s="410"/>
      <c r="EP22" s="410"/>
      <c r="EQ22" s="410"/>
      <c r="ER22" s="410"/>
      <c r="ES22" s="410"/>
      <c r="ET22" s="410"/>
      <c r="EU22" s="410"/>
      <c r="EV22" s="410"/>
      <c r="EW22" s="410"/>
      <c r="EX22" s="410"/>
      <c r="EY22" s="410"/>
      <c r="EZ22" s="410"/>
      <c r="FA22" s="410"/>
      <c r="FB22" s="410"/>
      <c r="FC22" s="410"/>
      <c r="FD22" s="410"/>
      <c r="FE22" s="410"/>
      <c r="FF22" s="410"/>
      <c r="FG22" s="410"/>
      <c r="FH22" s="410"/>
      <c r="FI22" s="410"/>
      <c r="FJ22" s="410"/>
      <c r="FK22" s="410"/>
      <c r="FL22" s="410"/>
      <c r="FM22" s="410"/>
      <c r="FN22" s="410"/>
      <c r="FO22" s="410"/>
      <c r="FP22" s="410"/>
      <c r="FQ22" s="410"/>
      <c r="FR22" s="410"/>
      <c r="FS22" s="410"/>
      <c r="FT22" s="410"/>
      <c r="FU22" s="410"/>
      <c r="FV22" s="410"/>
      <c r="FW22" s="410"/>
      <c r="FX22" s="410"/>
      <c r="FY22" s="410"/>
      <c r="FZ22" s="410"/>
      <c r="GA22" s="410"/>
      <c r="GB22" s="410"/>
      <c r="GC22" s="410"/>
      <c r="GD22" s="410"/>
      <c r="GE22" s="410"/>
      <c r="GF22" s="410"/>
      <c r="GG22" s="410"/>
      <c r="GH22" s="410"/>
      <c r="GI22" s="410"/>
      <c r="GJ22" s="410"/>
      <c r="GK22" s="410"/>
      <c r="GL22" s="410"/>
      <c r="GM22" s="410"/>
      <c r="GN22" s="410"/>
      <c r="GO22" s="410"/>
      <c r="GP22" s="410"/>
      <c r="GQ22" s="410"/>
      <c r="GR22" s="410"/>
      <c r="GS22" s="410"/>
      <c r="GT22" s="410"/>
      <c r="GU22" s="410"/>
      <c r="GV22" s="410"/>
      <c r="GW22" s="410"/>
      <c r="GX22" s="410"/>
      <c r="GY22" s="410"/>
      <c r="GZ22" s="410"/>
      <c r="HA22" s="410"/>
      <c r="HB22" s="410"/>
      <c r="HC22" s="410"/>
      <c r="HD22" s="410"/>
      <c r="HE22" s="410"/>
      <c r="HF22" s="410"/>
      <c r="HG22" s="410"/>
      <c r="HH22" s="410"/>
      <c r="HI22" s="410"/>
      <c r="HJ22" s="410"/>
      <c r="HK22" s="410"/>
      <c r="HL22" s="410"/>
      <c r="HM22" s="410"/>
      <c r="HN22" s="410"/>
      <c r="HO22" s="410"/>
      <c r="HP22" s="410"/>
      <c r="HQ22" s="410"/>
      <c r="HR22" s="410"/>
      <c r="HS22" s="410"/>
      <c r="HT22" s="410"/>
      <c r="HU22" s="410"/>
      <c r="HV22" s="410"/>
      <c r="HW22" s="410"/>
      <c r="HX22" s="410"/>
      <c r="HY22" s="410"/>
      <c r="HZ22" s="410"/>
      <c r="IA22" s="410"/>
      <c r="IB22" s="410"/>
      <c r="IC22" s="410"/>
      <c r="ID22" s="410"/>
      <c r="IE22" s="410"/>
      <c r="IF22" s="410"/>
      <c r="IG22" s="410"/>
      <c r="IH22" s="410"/>
      <c r="II22" s="410"/>
      <c r="IJ22" s="410"/>
      <c r="IK22" s="410"/>
      <c r="IL22" s="410"/>
      <c r="IM22" s="410"/>
      <c r="IN22" s="410"/>
      <c r="IO22" s="410"/>
      <c r="IP22" s="410"/>
      <c r="IQ22" s="410"/>
      <c r="IR22" s="410"/>
      <c r="IS22" s="410"/>
      <c r="IT22" s="410"/>
      <c r="IU22" s="410"/>
      <c r="IV22" s="410"/>
      <c r="IW22" s="410"/>
      <c r="IX22" s="410"/>
      <c r="IY22" s="410"/>
      <c r="IZ22" s="410"/>
      <c r="JA22" s="410"/>
      <c r="JB22" s="410"/>
      <c r="JC22" s="410"/>
      <c r="JD22" s="410"/>
      <c r="JE22" s="410"/>
      <c r="JF22" s="410"/>
      <c r="JG22" s="410"/>
      <c r="JH22" s="410"/>
      <c r="JI22" s="410"/>
      <c r="JJ22" s="410"/>
      <c r="JK22" s="410"/>
      <c r="JL22" s="410"/>
      <c r="JM22" s="410"/>
      <c r="JN22" s="410"/>
      <c r="JO22" s="410"/>
      <c r="JP22" s="410"/>
      <c r="JQ22" s="410"/>
      <c r="JR22" s="410"/>
      <c r="JS22" s="410"/>
      <c r="JT22" s="410"/>
      <c r="JU22" s="410"/>
      <c r="JV22" s="410"/>
      <c r="JW22" s="410"/>
      <c r="JX22" s="410"/>
      <c r="JY22" s="410"/>
      <c r="JZ22" s="410"/>
      <c r="KA22" s="410"/>
      <c r="KB22" s="410"/>
      <c r="KC22" s="410"/>
      <c r="KD22" s="410"/>
      <c r="KE22" s="410"/>
      <c r="KF22" s="410"/>
      <c r="KG22" s="410"/>
      <c r="KH22" s="410"/>
      <c r="KI22" s="410"/>
      <c r="KJ22" s="410"/>
      <c r="KK22" s="410"/>
      <c r="KL22" s="410"/>
      <c r="KM22" s="410"/>
      <c r="KN22" s="410"/>
      <c r="KO22" s="410"/>
      <c r="KP22" s="410"/>
      <c r="KQ22" s="410"/>
      <c r="KR22" s="410"/>
      <c r="KS22" s="410"/>
      <c r="KT22" s="410"/>
      <c r="KU22" s="410"/>
      <c r="KV22" s="410"/>
      <c r="KW22" s="410"/>
      <c r="KX22" s="410"/>
      <c r="KY22" s="410"/>
      <c r="KZ22" s="410"/>
      <c r="LA22" s="410"/>
      <c r="LB22" s="410"/>
      <c r="LC22" s="410"/>
      <c r="LD22" s="410"/>
      <c r="LE22" s="410"/>
      <c r="LF22" s="410"/>
      <c r="LG22" s="410"/>
      <c r="LH22" s="410"/>
      <c r="LI22" s="410"/>
      <c r="LJ22" s="410"/>
      <c r="LK22" s="410"/>
      <c r="LL22" s="410"/>
      <c r="LM22" s="410"/>
      <c r="LN22" s="410"/>
      <c r="LO22" s="410"/>
      <c r="LP22" s="410"/>
      <c r="LQ22" s="410"/>
      <c r="LR22" s="410"/>
      <c r="LS22" s="410"/>
      <c r="LT22" s="410"/>
      <c r="LU22" s="410"/>
      <c r="LV22" s="410"/>
      <c r="LW22" s="410"/>
      <c r="LX22" s="410"/>
      <c r="LY22" s="410"/>
      <c r="LZ22" s="410"/>
      <c r="MA22" s="410"/>
      <c r="MB22" s="410"/>
      <c r="MC22" s="410"/>
      <c r="MD22" s="410"/>
      <c r="ME22" s="410"/>
      <c r="MF22" s="410"/>
      <c r="MG22" s="410"/>
      <c r="MH22" s="410"/>
      <c r="MI22" s="410"/>
      <c r="MJ22" s="410"/>
      <c r="MK22" s="410"/>
      <c r="ML22" s="410"/>
      <c r="MM22" s="410"/>
      <c r="MN22" s="410"/>
      <c r="MO22" s="410"/>
      <c r="MP22" s="410"/>
      <c r="MQ22" s="410"/>
      <c r="MR22" s="410"/>
      <c r="MS22" s="410"/>
      <c r="MT22" s="410"/>
      <c r="MU22" s="410"/>
      <c r="MV22" s="410"/>
      <c r="MW22" s="410"/>
      <c r="MX22" s="410"/>
      <c r="MY22" s="410"/>
      <c r="MZ22" s="410"/>
      <c r="NA22" s="410"/>
      <c r="NB22" s="410"/>
      <c r="NC22" s="410"/>
      <c r="ND22" s="410"/>
      <c r="NE22" s="410"/>
      <c r="NF22" s="410"/>
      <c r="NG22" s="410"/>
      <c r="NH22" s="410"/>
      <c r="NI22" s="410"/>
      <c r="NJ22" s="410"/>
      <c r="NK22" s="410"/>
      <c r="NL22" s="410"/>
      <c r="NM22" s="410"/>
      <c r="NN22" s="410"/>
      <c r="NO22" s="410"/>
      <c r="NP22" s="410"/>
      <c r="NQ22" s="410"/>
      <c r="NR22" s="410"/>
      <c r="NS22" s="410"/>
      <c r="NT22" s="410"/>
      <c r="NU22" s="410"/>
      <c r="NV22" s="410"/>
      <c r="NW22" s="410"/>
      <c r="NX22" s="410"/>
      <c r="NY22" s="410"/>
      <c r="NZ22" s="410"/>
      <c r="OA22" s="410"/>
      <c r="OB22" s="410"/>
      <c r="OC22" s="410"/>
    </row>
    <row r="23" spans="1:393" s="290" customFormat="1" ht="15" customHeight="1" thickBot="1" x14ac:dyDescent="0.3">
      <c r="A23" s="14" t="s">
        <v>13</v>
      </c>
      <c r="B23" s="75">
        <v>16513</v>
      </c>
      <c r="C23" s="76">
        <v>1720826</v>
      </c>
      <c r="D23" s="75">
        <v>6210</v>
      </c>
      <c r="E23" s="76">
        <v>664996</v>
      </c>
      <c r="F23" s="75">
        <v>299</v>
      </c>
      <c r="G23" s="76">
        <v>19359</v>
      </c>
      <c r="H23" s="75">
        <f t="shared" si="0"/>
        <v>23022</v>
      </c>
      <c r="I23" s="75">
        <f t="shared" si="1"/>
        <v>2405181</v>
      </c>
      <c r="J23" s="52" t="s">
        <v>22</v>
      </c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  <c r="IX23" s="289"/>
      <c r="IY23" s="289"/>
      <c r="IZ23" s="289"/>
      <c r="JA23" s="289"/>
      <c r="JB23" s="289"/>
      <c r="JC23" s="289"/>
      <c r="JD23" s="289"/>
      <c r="JE23" s="289"/>
      <c r="JF23" s="289"/>
      <c r="JG23" s="289"/>
      <c r="JH23" s="289"/>
      <c r="JI23" s="289"/>
      <c r="JJ23" s="289"/>
      <c r="JK23" s="289"/>
      <c r="JL23" s="289"/>
      <c r="JM23" s="289"/>
      <c r="JN23" s="289"/>
      <c r="JO23" s="289"/>
      <c r="JP23" s="289"/>
      <c r="JQ23" s="289"/>
      <c r="JR23" s="289"/>
      <c r="JS23" s="289"/>
      <c r="JT23" s="289"/>
      <c r="JU23" s="289"/>
      <c r="JV23" s="289"/>
      <c r="JW23" s="289"/>
      <c r="JX23" s="289"/>
      <c r="JY23" s="289"/>
      <c r="JZ23" s="289"/>
      <c r="KA23" s="289"/>
      <c r="KB23" s="289"/>
      <c r="KC23" s="289"/>
      <c r="KD23" s="289"/>
      <c r="KE23" s="289"/>
      <c r="KF23" s="289"/>
      <c r="KG23" s="289"/>
      <c r="KH23" s="289"/>
      <c r="KI23" s="289"/>
      <c r="KJ23" s="289"/>
      <c r="KK23" s="289"/>
      <c r="KL23" s="289"/>
      <c r="KM23" s="289"/>
      <c r="KN23" s="289"/>
      <c r="KO23" s="289"/>
      <c r="KP23" s="289"/>
      <c r="KQ23" s="289"/>
      <c r="KR23" s="289"/>
      <c r="KS23" s="289"/>
      <c r="KT23" s="289"/>
      <c r="KU23" s="289"/>
      <c r="KV23" s="289"/>
      <c r="KW23" s="289"/>
      <c r="KX23" s="289"/>
      <c r="KY23" s="289"/>
      <c r="KZ23" s="289"/>
      <c r="LA23" s="289"/>
      <c r="LB23" s="289"/>
      <c r="LC23" s="289"/>
      <c r="LD23" s="289"/>
      <c r="LE23" s="289"/>
      <c r="LF23" s="289"/>
      <c r="LG23" s="289"/>
      <c r="LH23" s="289"/>
      <c r="LI23" s="289"/>
      <c r="LJ23" s="289"/>
      <c r="LK23" s="289"/>
      <c r="LL23" s="289"/>
      <c r="LM23" s="289"/>
      <c r="LN23" s="289"/>
      <c r="LO23" s="289"/>
      <c r="LP23" s="289"/>
      <c r="LQ23" s="289"/>
      <c r="LR23" s="289"/>
      <c r="LS23" s="289"/>
      <c r="LT23" s="289"/>
      <c r="LU23" s="289"/>
      <c r="LV23" s="289"/>
      <c r="LW23" s="289"/>
      <c r="LX23" s="289"/>
      <c r="LY23" s="289"/>
      <c r="LZ23" s="289"/>
      <c r="MA23" s="289"/>
      <c r="MB23" s="289"/>
      <c r="MC23" s="289"/>
      <c r="MD23" s="289"/>
      <c r="ME23" s="289"/>
      <c r="MF23" s="289"/>
      <c r="MG23" s="289"/>
      <c r="MH23" s="289"/>
      <c r="MI23" s="289"/>
      <c r="MJ23" s="289"/>
      <c r="MK23" s="289"/>
      <c r="ML23" s="289"/>
      <c r="MM23" s="289"/>
      <c r="MN23" s="289"/>
      <c r="MO23" s="289"/>
      <c r="MP23" s="289"/>
      <c r="MQ23" s="289"/>
      <c r="MR23" s="289"/>
      <c r="MS23" s="289"/>
      <c r="MT23" s="289"/>
      <c r="MU23" s="289"/>
      <c r="MV23" s="289"/>
      <c r="MW23" s="289"/>
      <c r="MX23" s="289"/>
      <c r="MY23" s="289"/>
      <c r="MZ23" s="289"/>
      <c r="NA23" s="289"/>
      <c r="NB23" s="289"/>
      <c r="NC23" s="289"/>
      <c r="ND23" s="289"/>
      <c r="NE23" s="289"/>
      <c r="NF23" s="289"/>
      <c r="NG23" s="289"/>
      <c r="NH23" s="289"/>
      <c r="NI23" s="289"/>
      <c r="NJ23" s="289"/>
      <c r="NK23" s="289"/>
      <c r="NL23" s="289"/>
      <c r="NM23" s="289"/>
      <c r="NN23" s="289"/>
      <c r="NO23" s="289"/>
      <c r="NP23" s="289"/>
      <c r="NQ23" s="289"/>
      <c r="NR23" s="289"/>
      <c r="NS23" s="289"/>
      <c r="NT23" s="289"/>
      <c r="NU23" s="289"/>
      <c r="NV23" s="289"/>
      <c r="NW23" s="289"/>
      <c r="NX23" s="289"/>
      <c r="NY23" s="289"/>
      <c r="NZ23" s="289"/>
      <c r="OA23" s="289"/>
      <c r="OB23" s="289"/>
      <c r="OC23" s="289"/>
    </row>
    <row r="24" spans="1:393" s="325" customFormat="1" ht="15" customHeight="1" thickTop="1" thickBot="1" x14ac:dyDescent="0.25">
      <c r="A24" s="762" t="s">
        <v>0</v>
      </c>
      <c r="B24" s="690">
        <f t="shared" ref="B24:I24" si="2">SUM(B9:B23)</f>
        <v>350802</v>
      </c>
      <c r="C24" s="690">
        <f t="shared" si="2"/>
        <v>34449367</v>
      </c>
      <c r="D24" s="690">
        <f t="shared" si="2"/>
        <v>81832</v>
      </c>
      <c r="E24" s="690">
        <f t="shared" si="2"/>
        <v>9086367</v>
      </c>
      <c r="F24" s="690">
        <f t="shared" si="2"/>
        <v>14707</v>
      </c>
      <c r="G24" s="690">
        <f t="shared" si="2"/>
        <v>2806805</v>
      </c>
      <c r="H24" s="690">
        <f t="shared" si="2"/>
        <v>447341</v>
      </c>
      <c r="I24" s="690">
        <f t="shared" si="2"/>
        <v>46342539</v>
      </c>
      <c r="J24" s="763" t="s">
        <v>1</v>
      </c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  <c r="IX24" s="395"/>
      <c r="IY24" s="395"/>
      <c r="IZ24" s="395"/>
      <c r="JA24" s="395"/>
      <c r="JB24" s="395"/>
      <c r="JC24" s="395"/>
      <c r="JD24" s="395"/>
      <c r="JE24" s="395"/>
      <c r="JF24" s="395"/>
      <c r="JG24" s="395"/>
      <c r="JH24" s="395"/>
      <c r="JI24" s="395"/>
      <c r="JJ24" s="395"/>
      <c r="JK24" s="395"/>
      <c r="JL24" s="395"/>
      <c r="JM24" s="395"/>
      <c r="JN24" s="395"/>
      <c r="JO24" s="395"/>
      <c r="JP24" s="395"/>
      <c r="JQ24" s="395"/>
      <c r="JR24" s="395"/>
      <c r="JS24" s="395"/>
      <c r="JT24" s="395"/>
      <c r="JU24" s="395"/>
      <c r="JV24" s="395"/>
      <c r="JW24" s="395"/>
      <c r="JX24" s="395"/>
      <c r="JY24" s="395"/>
      <c r="JZ24" s="395"/>
      <c r="KA24" s="395"/>
      <c r="KB24" s="395"/>
      <c r="KC24" s="395"/>
      <c r="KD24" s="395"/>
      <c r="KE24" s="395"/>
      <c r="KF24" s="395"/>
      <c r="KG24" s="395"/>
      <c r="KH24" s="395"/>
      <c r="KI24" s="395"/>
      <c r="KJ24" s="395"/>
      <c r="KK24" s="395"/>
      <c r="KL24" s="395"/>
      <c r="KM24" s="395"/>
      <c r="KN24" s="395"/>
      <c r="KO24" s="395"/>
      <c r="KP24" s="395"/>
      <c r="KQ24" s="395"/>
      <c r="KR24" s="395"/>
      <c r="KS24" s="395"/>
      <c r="KT24" s="395"/>
      <c r="KU24" s="395"/>
      <c r="KV24" s="395"/>
      <c r="KW24" s="395"/>
      <c r="KX24" s="395"/>
      <c r="KY24" s="395"/>
      <c r="KZ24" s="395"/>
      <c r="LA24" s="395"/>
      <c r="LB24" s="395"/>
      <c r="LC24" s="395"/>
      <c r="LD24" s="395"/>
      <c r="LE24" s="395"/>
      <c r="LF24" s="395"/>
      <c r="LG24" s="395"/>
      <c r="LH24" s="395"/>
      <c r="LI24" s="395"/>
      <c r="LJ24" s="395"/>
      <c r="LK24" s="395"/>
      <c r="LL24" s="395"/>
      <c r="LM24" s="395"/>
      <c r="LN24" s="395"/>
      <c r="LO24" s="395"/>
      <c r="LP24" s="395"/>
      <c r="LQ24" s="395"/>
      <c r="LR24" s="395"/>
      <c r="LS24" s="395"/>
      <c r="LT24" s="395"/>
      <c r="LU24" s="395"/>
      <c r="LV24" s="395"/>
      <c r="LW24" s="395"/>
      <c r="LX24" s="395"/>
      <c r="LY24" s="395"/>
      <c r="LZ24" s="395"/>
      <c r="MA24" s="395"/>
      <c r="MB24" s="395"/>
      <c r="MC24" s="395"/>
      <c r="MD24" s="395"/>
      <c r="ME24" s="395"/>
      <c r="MF24" s="395"/>
      <c r="MG24" s="395"/>
      <c r="MH24" s="395"/>
      <c r="MI24" s="395"/>
      <c r="MJ24" s="395"/>
      <c r="MK24" s="395"/>
      <c r="ML24" s="395"/>
      <c r="MM24" s="395"/>
      <c r="MN24" s="395"/>
      <c r="MO24" s="395"/>
      <c r="MP24" s="395"/>
      <c r="MQ24" s="395"/>
      <c r="MR24" s="395"/>
      <c r="MS24" s="395"/>
      <c r="MT24" s="395"/>
      <c r="MU24" s="395"/>
      <c r="MV24" s="395"/>
      <c r="MW24" s="395"/>
      <c r="MX24" s="395"/>
      <c r="MY24" s="395"/>
      <c r="MZ24" s="395"/>
      <c r="NA24" s="395"/>
      <c r="NB24" s="395"/>
      <c r="NC24" s="395"/>
      <c r="ND24" s="395"/>
      <c r="NE24" s="395"/>
      <c r="NF24" s="395"/>
      <c r="NG24" s="395"/>
      <c r="NH24" s="395"/>
      <c r="NI24" s="395"/>
      <c r="NJ24" s="395"/>
      <c r="NK24" s="395"/>
      <c r="NL24" s="395"/>
      <c r="NM24" s="395"/>
      <c r="NN24" s="395"/>
      <c r="NO24" s="395"/>
      <c r="NP24" s="395"/>
      <c r="NQ24" s="395"/>
      <c r="NR24" s="395"/>
      <c r="NS24" s="395"/>
      <c r="NT24" s="395"/>
      <c r="NU24" s="395"/>
      <c r="NV24" s="395"/>
      <c r="NW24" s="395"/>
      <c r="NX24" s="395"/>
      <c r="NY24" s="395"/>
      <c r="NZ24" s="395"/>
      <c r="OA24" s="395"/>
      <c r="OB24" s="395"/>
      <c r="OC24" s="395"/>
    </row>
    <row r="25" spans="1:393" ht="15.75" thickTop="1" x14ac:dyDescent="0.2">
      <c r="A25" s="948"/>
      <c r="B25" s="948"/>
      <c r="C25" s="948"/>
      <c r="D25" s="948"/>
      <c r="E25" s="948"/>
      <c r="F25" s="948"/>
      <c r="G25" s="948"/>
      <c r="H25" s="948"/>
      <c r="I25" s="6"/>
      <c r="J25" s="186"/>
      <c r="L25" s="5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  <c r="IX25" s="289"/>
      <c r="IY25" s="289"/>
      <c r="IZ25" s="289"/>
      <c r="JA25" s="289"/>
      <c r="JB25" s="289"/>
      <c r="JC25" s="289"/>
      <c r="JD25" s="289"/>
      <c r="JE25" s="289"/>
      <c r="JF25" s="289"/>
      <c r="JG25" s="289"/>
      <c r="JH25" s="289"/>
      <c r="JI25" s="289"/>
      <c r="JJ25" s="289"/>
      <c r="JK25" s="289"/>
      <c r="JL25" s="289"/>
      <c r="JM25" s="289"/>
      <c r="JN25" s="289"/>
      <c r="JO25" s="289"/>
      <c r="JP25" s="289"/>
      <c r="JQ25" s="289"/>
      <c r="JR25" s="289"/>
      <c r="JS25" s="289"/>
      <c r="JT25" s="289"/>
      <c r="JU25" s="289"/>
      <c r="JV25" s="289"/>
      <c r="JW25" s="289"/>
      <c r="JX25" s="289"/>
      <c r="JY25" s="289"/>
      <c r="JZ25" s="289"/>
      <c r="KA25" s="289"/>
      <c r="KB25" s="289"/>
      <c r="KC25" s="289"/>
      <c r="KD25" s="289"/>
      <c r="KE25" s="289"/>
      <c r="KF25" s="289"/>
      <c r="KG25" s="289"/>
      <c r="KH25" s="289"/>
      <c r="KI25" s="289"/>
      <c r="KJ25" s="289"/>
      <c r="KK25" s="289"/>
      <c r="KL25" s="289"/>
      <c r="KM25" s="289"/>
      <c r="KN25" s="289"/>
      <c r="KO25" s="289"/>
      <c r="KP25" s="289"/>
      <c r="KQ25" s="289"/>
      <c r="KR25" s="289"/>
      <c r="KS25" s="289"/>
      <c r="KT25" s="289"/>
      <c r="KU25" s="289"/>
      <c r="KV25" s="289"/>
      <c r="KW25" s="289"/>
      <c r="KX25" s="289"/>
      <c r="KY25" s="289"/>
      <c r="KZ25" s="289"/>
      <c r="LA25" s="289"/>
      <c r="LB25" s="289"/>
      <c r="LC25" s="289"/>
      <c r="LD25" s="289"/>
      <c r="LE25" s="289"/>
      <c r="LF25" s="289"/>
      <c r="LG25" s="289"/>
      <c r="LH25" s="289"/>
      <c r="LI25" s="289"/>
      <c r="LJ25" s="289"/>
      <c r="LK25" s="289"/>
      <c r="LL25" s="289"/>
      <c r="LM25" s="289"/>
      <c r="LN25" s="289"/>
      <c r="LO25" s="289"/>
      <c r="LP25" s="289"/>
      <c r="LQ25" s="289"/>
      <c r="LR25" s="289"/>
      <c r="LS25" s="289"/>
      <c r="LT25" s="289"/>
      <c r="LU25" s="289"/>
      <c r="LV25" s="289"/>
      <c r="LW25" s="289"/>
      <c r="LX25" s="289"/>
      <c r="LY25" s="289"/>
      <c r="LZ25" s="289"/>
      <c r="MA25" s="289"/>
      <c r="MB25" s="289"/>
      <c r="MC25" s="289"/>
      <c r="MD25" s="289"/>
      <c r="ME25" s="289"/>
      <c r="MF25" s="289"/>
      <c r="MG25" s="289"/>
      <c r="MH25" s="289"/>
      <c r="MI25" s="289"/>
      <c r="MJ25" s="289"/>
      <c r="MK25" s="289"/>
      <c r="ML25" s="289"/>
      <c r="MM25" s="289"/>
      <c r="MN25" s="289"/>
      <c r="MO25" s="289"/>
      <c r="MP25" s="289"/>
      <c r="MQ25" s="289"/>
      <c r="MR25" s="289"/>
      <c r="MS25" s="289"/>
      <c r="MT25" s="289"/>
      <c r="MU25" s="289"/>
      <c r="MV25" s="289"/>
      <c r="MW25" s="289"/>
      <c r="MX25" s="289"/>
      <c r="MY25" s="289"/>
      <c r="MZ25" s="289"/>
      <c r="NA25" s="289"/>
      <c r="NB25" s="289"/>
      <c r="NC25" s="289"/>
      <c r="ND25" s="289"/>
      <c r="NE25" s="289"/>
      <c r="NF25" s="289"/>
      <c r="NG25" s="289"/>
      <c r="NH25" s="289"/>
      <c r="NI25" s="289"/>
      <c r="NJ25" s="289"/>
      <c r="NK25" s="289"/>
      <c r="NL25" s="289"/>
      <c r="NM25" s="289"/>
      <c r="NN25" s="289"/>
      <c r="NO25" s="289"/>
      <c r="NP25" s="289"/>
      <c r="NQ25" s="289"/>
      <c r="NR25" s="289"/>
      <c r="NS25" s="289"/>
      <c r="NT25" s="289"/>
      <c r="NU25" s="289"/>
      <c r="NV25" s="289"/>
      <c r="NW25" s="289"/>
      <c r="NX25" s="289"/>
      <c r="NY25" s="289"/>
      <c r="NZ25" s="289"/>
      <c r="OA25" s="289"/>
      <c r="OB25" s="289"/>
      <c r="OC25" s="289"/>
    </row>
    <row r="26" spans="1:393" ht="12.75" customHeight="1" x14ac:dyDescent="0.2">
      <c r="J26" s="55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  <c r="IX26" s="289"/>
      <c r="IY26" s="289"/>
      <c r="IZ26" s="289"/>
      <c r="JA26" s="289"/>
      <c r="JB26" s="289"/>
      <c r="JC26" s="289"/>
      <c r="JD26" s="289"/>
      <c r="JE26" s="289"/>
      <c r="JF26" s="289"/>
      <c r="JG26" s="289"/>
      <c r="JH26" s="289"/>
      <c r="JI26" s="289"/>
      <c r="JJ26" s="289"/>
      <c r="JK26" s="289"/>
      <c r="JL26" s="289"/>
      <c r="JM26" s="289"/>
      <c r="JN26" s="289"/>
      <c r="JO26" s="289"/>
      <c r="JP26" s="289"/>
      <c r="JQ26" s="289"/>
      <c r="JR26" s="289"/>
      <c r="JS26" s="289"/>
      <c r="JT26" s="289"/>
      <c r="JU26" s="289"/>
      <c r="JV26" s="289"/>
      <c r="JW26" s="289"/>
      <c r="JX26" s="289"/>
      <c r="JY26" s="289"/>
      <c r="JZ26" s="289"/>
      <c r="KA26" s="289"/>
      <c r="KB26" s="289"/>
      <c r="KC26" s="289"/>
      <c r="KD26" s="289"/>
      <c r="KE26" s="289"/>
      <c r="KF26" s="289"/>
      <c r="KG26" s="289"/>
      <c r="KH26" s="289"/>
      <c r="KI26" s="289"/>
      <c r="KJ26" s="289"/>
      <c r="KK26" s="289"/>
      <c r="KL26" s="289"/>
      <c r="KM26" s="289"/>
      <c r="KN26" s="289"/>
      <c r="KO26" s="289"/>
      <c r="KP26" s="289"/>
      <c r="KQ26" s="289"/>
      <c r="KR26" s="289"/>
      <c r="KS26" s="289"/>
      <c r="KT26" s="289"/>
      <c r="KU26" s="289"/>
      <c r="KV26" s="289"/>
      <c r="KW26" s="289"/>
      <c r="KX26" s="289"/>
      <c r="KY26" s="289"/>
      <c r="KZ26" s="289"/>
      <c r="LA26" s="289"/>
      <c r="LB26" s="289"/>
      <c r="LC26" s="289"/>
      <c r="LD26" s="289"/>
      <c r="LE26" s="289"/>
      <c r="LF26" s="289"/>
      <c r="LG26" s="289"/>
      <c r="LH26" s="289"/>
      <c r="LI26" s="289"/>
      <c r="LJ26" s="289"/>
      <c r="LK26" s="289"/>
      <c r="LL26" s="289"/>
      <c r="LM26" s="289"/>
      <c r="LN26" s="289"/>
      <c r="LO26" s="289"/>
      <c r="LP26" s="289"/>
      <c r="LQ26" s="289"/>
      <c r="LR26" s="289"/>
      <c r="LS26" s="289"/>
      <c r="LT26" s="289"/>
      <c r="LU26" s="289"/>
      <c r="LV26" s="289"/>
      <c r="LW26" s="289"/>
      <c r="LX26" s="289"/>
      <c r="LY26" s="289"/>
      <c r="LZ26" s="289"/>
      <c r="MA26" s="289"/>
      <c r="MB26" s="289"/>
      <c r="MC26" s="289"/>
      <c r="MD26" s="289"/>
      <c r="ME26" s="289"/>
      <c r="MF26" s="289"/>
      <c r="MG26" s="289"/>
      <c r="MH26" s="289"/>
      <c r="MI26" s="289"/>
      <c r="MJ26" s="289"/>
      <c r="MK26" s="289"/>
      <c r="ML26" s="289"/>
      <c r="MM26" s="289"/>
      <c r="MN26" s="289"/>
      <c r="MO26" s="289"/>
      <c r="MP26" s="289"/>
      <c r="MQ26" s="289"/>
      <c r="MR26" s="289"/>
      <c r="MS26" s="289"/>
      <c r="MT26" s="289"/>
      <c r="MU26" s="289"/>
      <c r="MV26" s="289"/>
      <c r="MW26" s="289"/>
      <c r="MX26" s="289"/>
      <c r="MY26" s="289"/>
      <c r="MZ26" s="289"/>
      <c r="NA26" s="289"/>
      <c r="NB26" s="289"/>
      <c r="NC26" s="289"/>
      <c r="ND26" s="289"/>
      <c r="NE26" s="289"/>
      <c r="NF26" s="289"/>
      <c r="NG26" s="289"/>
      <c r="NH26" s="289"/>
      <c r="NI26" s="289"/>
      <c r="NJ26" s="289"/>
      <c r="NK26" s="289"/>
      <c r="NL26" s="289"/>
      <c r="NM26" s="289"/>
      <c r="NN26" s="289"/>
      <c r="NO26" s="289"/>
      <c r="NP26" s="289"/>
      <c r="NQ26" s="289"/>
      <c r="NR26" s="289"/>
      <c r="NS26" s="289"/>
      <c r="NT26" s="289"/>
      <c r="NU26" s="289"/>
      <c r="NV26" s="289"/>
      <c r="NW26" s="289"/>
      <c r="NX26" s="289"/>
      <c r="NY26" s="289"/>
      <c r="NZ26" s="289"/>
      <c r="OA26" s="289"/>
      <c r="OB26" s="289"/>
      <c r="OC26" s="289"/>
    </row>
    <row r="27" spans="1:393" x14ac:dyDescent="0.2"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  <c r="IX27" s="289"/>
      <c r="IY27" s="289"/>
      <c r="IZ27" s="289"/>
      <c r="JA27" s="289"/>
      <c r="JB27" s="289"/>
      <c r="JC27" s="289"/>
      <c r="JD27" s="289"/>
      <c r="JE27" s="289"/>
      <c r="JF27" s="289"/>
      <c r="JG27" s="289"/>
      <c r="JH27" s="289"/>
      <c r="JI27" s="289"/>
      <c r="JJ27" s="289"/>
      <c r="JK27" s="289"/>
      <c r="JL27" s="289"/>
      <c r="JM27" s="289"/>
      <c r="JN27" s="289"/>
      <c r="JO27" s="289"/>
      <c r="JP27" s="289"/>
      <c r="JQ27" s="289"/>
      <c r="JR27" s="289"/>
      <c r="JS27" s="289"/>
      <c r="JT27" s="289"/>
      <c r="JU27" s="289"/>
      <c r="JV27" s="289"/>
      <c r="JW27" s="289"/>
      <c r="JX27" s="289"/>
      <c r="JY27" s="289"/>
      <c r="JZ27" s="289"/>
      <c r="KA27" s="289"/>
      <c r="KB27" s="289"/>
      <c r="KC27" s="289"/>
      <c r="KD27" s="289"/>
      <c r="KE27" s="289"/>
      <c r="KF27" s="289"/>
      <c r="KG27" s="289"/>
      <c r="KH27" s="289"/>
      <c r="KI27" s="289"/>
      <c r="KJ27" s="289"/>
      <c r="KK27" s="289"/>
      <c r="KL27" s="289"/>
      <c r="KM27" s="289"/>
      <c r="KN27" s="289"/>
      <c r="KO27" s="289"/>
      <c r="KP27" s="289"/>
      <c r="KQ27" s="289"/>
      <c r="KR27" s="289"/>
      <c r="KS27" s="289"/>
      <c r="KT27" s="289"/>
      <c r="KU27" s="289"/>
      <c r="KV27" s="289"/>
      <c r="KW27" s="289"/>
      <c r="KX27" s="289"/>
      <c r="KY27" s="289"/>
      <c r="KZ27" s="289"/>
      <c r="LA27" s="289"/>
      <c r="LB27" s="289"/>
      <c r="LC27" s="289"/>
      <c r="LD27" s="289"/>
      <c r="LE27" s="289"/>
      <c r="LF27" s="289"/>
      <c r="LG27" s="289"/>
      <c r="LH27" s="289"/>
      <c r="LI27" s="289"/>
      <c r="LJ27" s="289"/>
      <c r="LK27" s="289"/>
      <c r="LL27" s="289"/>
      <c r="LM27" s="289"/>
      <c r="LN27" s="289"/>
      <c r="LO27" s="289"/>
      <c r="LP27" s="289"/>
      <c r="LQ27" s="289"/>
      <c r="LR27" s="289"/>
      <c r="LS27" s="289"/>
      <c r="LT27" s="289"/>
      <c r="LU27" s="289"/>
      <c r="LV27" s="289"/>
      <c r="LW27" s="289"/>
      <c r="LX27" s="289"/>
      <c r="LY27" s="289"/>
      <c r="LZ27" s="289"/>
      <c r="MA27" s="289"/>
      <c r="MB27" s="289"/>
      <c r="MC27" s="289"/>
      <c r="MD27" s="289"/>
      <c r="ME27" s="289"/>
      <c r="MF27" s="289"/>
      <c r="MG27" s="289"/>
      <c r="MH27" s="289"/>
      <c r="MI27" s="289"/>
      <c r="MJ27" s="289"/>
      <c r="MK27" s="289"/>
      <c r="ML27" s="289"/>
      <c r="MM27" s="289"/>
      <c r="MN27" s="289"/>
      <c r="MO27" s="289"/>
      <c r="MP27" s="289"/>
      <c r="MQ27" s="289"/>
      <c r="MR27" s="289"/>
      <c r="MS27" s="289"/>
      <c r="MT27" s="289"/>
      <c r="MU27" s="289"/>
      <c r="MV27" s="289"/>
      <c r="MW27" s="289"/>
      <c r="MX27" s="289"/>
      <c r="MY27" s="289"/>
      <c r="MZ27" s="289"/>
      <c r="NA27" s="289"/>
      <c r="NB27" s="289"/>
      <c r="NC27" s="289"/>
      <c r="ND27" s="289"/>
      <c r="NE27" s="289"/>
      <c r="NF27" s="289"/>
      <c r="NG27" s="289"/>
      <c r="NH27" s="289"/>
      <c r="NI27" s="289"/>
      <c r="NJ27" s="289"/>
      <c r="NK27" s="289"/>
      <c r="NL27" s="289"/>
      <c r="NM27" s="289"/>
      <c r="NN27" s="289"/>
      <c r="NO27" s="289"/>
      <c r="NP27" s="289"/>
      <c r="NQ27" s="289"/>
      <c r="NR27" s="289"/>
      <c r="NS27" s="289"/>
      <c r="NT27" s="289"/>
      <c r="NU27" s="289"/>
      <c r="NV27" s="289"/>
      <c r="NW27" s="289"/>
      <c r="NX27" s="289"/>
      <c r="NY27" s="289"/>
      <c r="NZ27" s="289"/>
      <c r="OA27" s="289"/>
      <c r="OB27" s="289"/>
      <c r="OC27" s="289"/>
    </row>
    <row r="28" spans="1:393" x14ac:dyDescent="0.2"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  <c r="IX28" s="289"/>
      <c r="IY28" s="289"/>
      <c r="IZ28" s="289"/>
      <c r="JA28" s="289"/>
      <c r="JB28" s="289"/>
      <c r="JC28" s="289"/>
      <c r="JD28" s="289"/>
      <c r="JE28" s="289"/>
      <c r="JF28" s="289"/>
      <c r="JG28" s="289"/>
      <c r="JH28" s="289"/>
      <c r="JI28" s="289"/>
      <c r="JJ28" s="289"/>
      <c r="JK28" s="289"/>
      <c r="JL28" s="289"/>
      <c r="JM28" s="289"/>
      <c r="JN28" s="289"/>
      <c r="JO28" s="289"/>
      <c r="JP28" s="289"/>
      <c r="JQ28" s="289"/>
      <c r="JR28" s="289"/>
      <c r="JS28" s="289"/>
      <c r="JT28" s="289"/>
      <c r="JU28" s="289"/>
      <c r="JV28" s="289"/>
      <c r="JW28" s="289"/>
      <c r="JX28" s="289"/>
      <c r="JY28" s="289"/>
      <c r="JZ28" s="289"/>
      <c r="KA28" s="289"/>
      <c r="KB28" s="289"/>
      <c r="KC28" s="289"/>
      <c r="KD28" s="289"/>
      <c r="KE28" s="289"/>
      <c r="KF28" s="289"/>
      <c r="KG28" s="289"/>
      <c r="KH28" s="289"/>
      <c r="KI28" s="289"/>
      <c r="KJ28" s="289"/>
      <c r="KK28" s="289"/>
      <c r="KL28" s="289"/>
      <c r="KM28" s="289"/>
      <c r="KN28" s="289"/>
      <c r="KO28" s="289"/>
      <c r="KP28" s="289"/>
      <c r="KQ28" s="289"/>
      <c r="KR28" s="289"/>
      <c r="KS28" s="289"/>
      <c r="KT28" s="289"/>
      <c r="KU28" s="289"/>
      <c r="KV28" s="289"/>
      <c r="KW28" s="289"/>
      <c r="KX28" s="289"/>
      <c r="KY28" s="289"/>
      <c r="KZ28" s="289"/>
      <c r="LA28" s="289"/>
      <c r="LB28" s="289"/>
      <c r="LC28" s="289"/>
      <c r="LD28" s="289"/>
      <c r="LE28" s="289"/>
      <c r="LF28" s="289"/>
      <c r="LG28" s="289"/>
      <c r="LH28" s="289"/>
      <c r="LI28" s="289"/>
      <c r="LJ28" s="289"/>
      <c r="LK28" s="289"/>
      <c r="LL28" s="289"/>
      <c r="LM28" s="289"/>
      <c r="LN28" s="289"/>
      <c r="LO28" s="289"/>
      <c r="LP28" s="289"/>
      <c r="LQ28" s="289"/>
      <c r="LR28" s="289"/>
      <c r="LS28" s="289"/>
      <c r="LT28" s="289"/>
      <c r="LU28" s="289"/>
      <c r="LV28" s="289"/>
      <c r="LW28" s="289"/>
      <c r="LX28" s="289"/>
      <c r="LY28" s="289"/>
      <c r="LZ28" s="289"/>
      <c r="MA28" s="289"/>
      <c r="MB28" s="289"/>
      <c r="MC28" s="289"/>
      <c r="MD28" s="289"/>
      <c r="ME28" s="289"/>
      <c r="MF28" s="289"/>
      <c r="MG28" s="289"/>
      <c r="MH28" s="289"/>
      <c r="MI28" s="289"/>
      <c r="MJ28" s="289"/>
      <c r="MK28" s="289"/>
      <c r="ML28" s="289"/>
      <c r="MM28" s="289"/>
      <c r="MN28" s="289"/>
      <c r="MO28" s="289"/>
      <c r="MP28" s="289"/>
      <c r="MQ28" s="289"/>
      <c r="MR28" s="289"/>
      <c r="MS28" s="289"/>
      <c r="MT28" s="289"/>
      <c r="MU28" s="289"/>
      <c r="MV28" s="289"/>
      <c r="MW28" s="289"/>
      <c r="MX28" s="289"/>
      <c r="MY28" s="289"/>
      <c r="MZ28" s="289"/>
      <c r="NA28" s="289"/>
      <c r="NB28" s="289"/>
      <c r="NC28" s="289"/>
      <c r="ND28" s="289"/>
      <c r="NE28" s="289"/>
      <c r="NF28" s="289"/>
      <c r="NG28" s="289"/>
      <c r="NH28" s="289"/>
      <c r="NI28" s="289"/>
      <c r="NJ28" s="289"/>
      <c r="NK28" s="289"/>
      <c r="NL28" s="289"/>
      <c r="NM28" s="289"/>
      <c r="NN28" s="289"/>
      <c r="NO28" s="289"/>
      <c r="NP28" s="289"/>
      <c r="NQ28" s="289"/>
      <c r="NR28" s="289"/>
      <c r="NS28" s="289"/>
      <c r="NT28" s="289"/>
      <c r="NU28" s="289"/>
      <c r="NV28" s="289"/>
      <c r="NW28" s="289"/>
      <c r="NX28" s="289"/>
      <c r="NY28" s="289"/>
      <c r="NZ28" s="289"/>
      <c r="OA28" s="289"/>
      <c r="OB28" s="289"/>
      <c r="OC28" s="289"/>
    </row>
    <row r="29" spans="1:393" x14ac:dyDescent="0.2"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  <c r="IX29" s="289"/>
      <c r="IY29" s="289"/>
      <c r="IZ29" s="289"/>
      <c r="JA29" s="289"/>
      <c r="JB29" s="289"/>
      <c r="JC29" s="289"/>
      <c r="JD29" s="289"/>
      <c r="JE29" s="289"/>
      <c r="JF29" s="289"/>
      <c r="JG29" s="289"/>
      <c r="JH29" s="289"/>
      <c r="JI29" s="289"/>
      <c r="JJ29" s="289"/>
      <c r="JK29" s="289"/>
      <c r="JL29" s="289"/>
      <c r="JM29" s="289"/>
      <c r="JN29" s="289"/>
      <c r="JO29" s="289"/>
      <c r="JP29" s="289"/>
      <c r="JQ29" s="289"/>
      <c r="JR29" s="289"/>
      <c r="JS29" s="289"/>
      <c r="JT29" s="289"/>
      <c r="JU29" s="289"/>
      <c r="JV29" s="289"/>
      <c r="JW29" s="289"/>
      <c r="JX29" s="289"/>
      <c r="JY29" s="289"/>
      <c r="JZ29" s="289"/>
      <c r="KA29" s="289"/>
      <c r="KB29" s="289"/>
      <c r="KC29" s="289"/>
      <c r="KD29" s="289"/>
      <c r="KE29" s="289"/>
      <c r="KF29" s="289"/>
      <c r="KG29" s="289"/>
      <c r="KH29" s="289"/>
      <c r="KI29" s="289"/>
      <c r="KJ29" s="289"/>
      <c r="KK29" s="289"/>
      <c r="KL29" s="289"/>
      <c r="KM29" s="289"/>
      <c r="KN29" s="289"/>
      <c r="KO29" s="289"/>
      <c r="KP29" s="289"/>
      <c r="KQ29" s="289"/>
      <c r="KR29" s="289"/>
      <c r="KS29" s="289"/>
      <c r="KT29" s="289"/>
      <c r="KU29" s="289"/>
      <c r="KV29" s="289"/>
      <c r="KW29" s="289"/>
      <c r="KX29" s="289"/>
      <c r="KY29" s="289"/>
      <c r="KZ29" s="289"/>
      <c r="LA29" s="289"/>
      <c r="LB29" s="289"/>
      <c r="LC29" s="289"/>
      <c r="LD29" s="289"/>
      <c r="LE29" s="289"/>
      <c r="LF29" s="289"/>
      <c r="LG29" s="289"/>
      <c r="LH29" s="289"/>
      <c r="LI29" s="289"/>
      <c r="LJ29" s="289"/>
      <c r="LK29" s="289"/>
      <c r="LL29" s="289"/>
      <c r="LM29" s="289"/>
      <c r="LN29" s="289"/>
      <c r="LO29" s="289"/>
      <c r="LP29" s="289"/>
      <c r="LQ29" s="289"/>
      <c r="LR29" s="289"/>
      <c r="LS29" s="289"/>
      <c r="LT29" s="289"/>
      <c r="LU29" s="289"/>
      <c r="LV29" s="289"/>
      <c r="LW29" s="289"/>
      <c r="LX29" s="289"/>
      <c r="LY29" s="289"/>
      <c r="LZ29" s="289"/>
      <c r="MA29" s="289"/>
      <c r="MB29" s="289"/>
      <c r="MC29" s="289"/>
      <c r="MD29" s="289"/>
      <c r="ME29" s="289"/>
      <c r="MF29" s="289"/>
      <c r="MG29" s="289"/>
      <c r="MH29" s="289"/>
      <c r="MI29" s="289"/>
      <c r="MJ29" s="289"/>
      <c r="MK29" s="289"/>
      <c r="ML29" s="289"/>
      <c r="MM29" s="289"/>
      <c r="MN29" s="289"/>
      <c r="MO29" s="289"/>
      <c r="MP29" s="289"/>
      <c r="MQ29" s="289"/>
      <c r="MR29" s="289"/>
      <c r="MS29" s="289"/>
      <c r="MT29" s="289"/>
      <c r="MU29" s="289"/>
      <c r="MV29" s="289"/>
      <c r="MW29" s="289"/>
      <c r="MX29" s="289"/>
      <c r="MY29" s="289"/>
      <c r="MZ29" s="289"/>
      <c r="NA29" s="289"/>
      <c r="NB29" s="289"/>
      <c r="NC29" s="289"/>
      <c r="ND29" s="289"/>
      <c r="NE29" s="289"/>
      <c r="NF29" s="289"/>
      <c r="NG29" s="289"/>
      <c r="NH29" s="289"/>
      <c r="NI29" s="289"/>
      <c r="NJ29" s="289"/>
      <c r="NK29" s="289"/>
      <c r="NL29" s="289"/>
      <c r="NM29" s="289"/>
      <c r="NN29" s="289"/>
      <c r="NO29" s="289"/>
      <c r="NP29" s="289"/>
      <c r="NQ29" s="289"/>
      <c r="NR29" s="289"/>
      <c r="NS29" s="289"/>
      <c r="NT29" s="289"/>
      <c r="NU29" s="289"/>
      <c r="NV29" s="289"/>
      <c r="NW29" s="289"/>
      <c r="NX29" s="289"/>
      <c r="NY29" s="289"/>
      <c r="NZ29" s="289"/>
      <c r="OA29" s="289"/>
      <c r="OB29" s="289"/>
      <c r="OC29" s="289"/>
    </row>
    <row r="30" spans="1:393" x14ac:dyDescent="0.2"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  <c r="IX30" s="289"/>
      <c r="IY30" s="289"/>
      <c r="IZ30" s="289"/>
      <c r="JA30" s="289"/>
      <c r="JB30" s="289"/>
      <c r="JC30" s="289"/>
      <c r="JD30" s="289"/>
      <c r="JE30" s="289"/>
      <c r="JF30" s="289"/>
      <c r="JG30" s="289"/>
      <c r="JH30" s="289"/>
      <c r="JI30" s="289"/>
      <c r="JJ30" s="289"/>
      <c r="JK30" s="289"/>
      <c r="JL30" s="289"/>
      <c r="JM30" s="289"/>
      <c r="JN30" s="289"/>
      <c r="JO30" s="289"/>
      <c r="JP30" s="289"/>
      <c r="JQ30" s="289"/>
      <c r="JR30" s="289"/>
      <c r="JS30" s="289"/>
      <c r="JT30" s="289"/>
      <c r="JU30" s="289"/>
      <c r="JV30" s="289"/>
      <c r="JW30" s="289"/>
      <c r="JX30" s="289"/>
      <c r="JY30" s="289"/>
      <c r="JZ30" s="289"/>
      <c r="KA30" s="289"/>
      <c r="KB30" s="289"/>
      <c r="KC30" s="289"/>
      <c r="KD30" s="289"/>
      <c r="KE30" s="289"/>
      <c r="KF30" s="289"/>
      <c r="KG30" s="289"/>
      <c r="KH30" s="289"/>
      <c r="KI30" s="289"/>
      <c r="KJ30" s="289"/>
      <c r="KK30" s="289"/>
      <c r="KL30" s="289"/>
      <c r="KM30" s="289"/>
      <c r="KN30" s="289"/>
      <c r="KO30" s="289"/>
      <c r="KP30" s="289"/>
      <c r="KQ30" s="289"/>
      <c r="KR30" s="289"/>
      <c r="KS30" s="289"/>
      <c r="KT30" s="289"/>
      <c r="KU30" s="289"/>
      <c r="KV30" s="289"/>
      <c r="KW30" s="289"/>
      <c r="KX30" s="289"/>
      <c r="KY30" s="289"/>
      <c r="KZ30" s="289"/>
      <c r="LA30" s="289"/>
      <c r="LB30" s="289"/>
      <c r="LC30" s="289"/>
      <c r="LD30" s="289"/>
      <c r="LE30" s="289"/>
      <c r="LF30" s="289"/>
      <c r="LG30" s="289"/>
      <c r="LH30" s="289"/>
      <c r="LI30" s="289"/>
      <c r="LJ30" s="289"/>
      <c r="LK30" s="289"/>
      <c r="LL30" s="289"/>
      <c r="LM30" s="289"/>
      <c r="LN30" s="289"/>
      <c r="LO30" s="289"/>
      <c r="LP30" s="289"/>
      <c r="LQ30" s="289"/>
      <c r="LR30" s="289"/>
      <c r="LS30" s="289"/>
      <c r="LT30" s="289"/>
      <c r="LU30" s="289"/>
      <c r="LV30" s="289"/>
      <c r="LW30" s="289"/>
      <c r="LX30" s="289"/>
      <c r="LY30" s="289"/>
      <c r="LZ30" s="289"/>
      <c r="MA30" s="289"/>
      <c r="MB30" s="289"/>
      <c r="MC30" s="289"/>
      <c r="MD30" s="289"/>
      <c r="ME30" s="289"/>
      <c r="MF30" s="289"/>
      <c r="MG30" s="289"/>
      <c r="MH30" s="289"/>
      <c r="MI30" s="289"/>
      <c r="MJ30" s="289"/>
      <c r="MK30" s="289"/>
      <c r="ML30" s="289"/>
      <c r="MM30" s="289"/>
      <c r="MN30" s="289"/>
      <c r="MO30" s="289"/>
      <c r="MP30" s="289"/>
      <c r="MQ30" s="289"/>
      <c r="MR30" s="289"/>
      <c r="MS30" s="289"/>
      <c r="MT30" s="289"/>
      <c r="MU30" s="289"/>
      <c r="MV30" s="289"/>
      <c r="MW30" s="289"/>
      <c r="MX30" s="289"/>
      <c r="MY30" s="289"/>
      <c r="MZ30" s="289"/>
      <c r="NA30" s="289"/>
      <c r="NB30" s="289"/>
      <c r="NC30" s="289"/>
      <c r="ND30" s="289"/>
      <c r="NE30" s="289"/>
      <c r="NF30" s="289"/>
      <c r="NG30" s="289"/>
      <c r="NH30" s="289"/>
      <c r="NI30" s="289"/>
      <c r="NJ30" s="289"/>
      <c r="NK30" s="289"/>
      <c r="NL30" s="289"/>
      <c r="NM30" s="289"/>
      <c r="NN30" s="289"/>
      <c r="NO30" s="289"/>
      <c r="NP30" s="289"/>
      <c r="NQ30" s="289"/>
      <c r="NR30" s="289"/>
      <c r="NS30" s="289"/>
      <c r="NT30" s="289"/>
      <c r="NU30" s="289"/>
      <c r="NV30" s="289"/>
      <c r="NW30" s="289"/>
      <c r="NX30" s="289"/>
      <c r="NY30" s="289"/>
      <c r="NZ30" s="289"/>
      <c r="OA30" s="289"/>
      <c r="OB30" s="289"/>
      <c r="OC30" s="289"/>
    </row>
    <row r="31" spans="1:393" x14ac:dyDescent="0.2"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  <c r="IX31" s="289"/>
      <c r="IY31" s="289"/>
      <c r="IZ31" s="289"/>
      <c r="JA31" s="289"/>
      <c r="JB31" s="289"/>
      <c r="JC31" s="289"/>
      <c r="JD31" s="289"/>
      <c r="JE31" s="289"/>
      <c r="JF31" s="289"/>
      <c r="JG31" s="289"/>
      <c r="JH31" s="289"/>
      <c r="JI31" s="289"/>
      <c r="JJ31" s="289"/>
      <c r="JK31" s="289"/>
      <c r="JL31" s="289"/>
      <c r="JM31" s="289"/>
      <c r="JN31" s="289"/>
      <c r="JO31" s="289"/>
      <c r="JP31" s="289"/>
      <c r="JQ31" s="289"/>
      <c r="JR31" s="289"/>
      <c r="JS31" s="289"/>
      <c r="JT31" s="289"/>
      <c r="JU31" s="289"/>
      <c r="JV31" s="289"/>
      <c r="JW31" s="289"/>
      <c r="JX31" s="289"/>
      <c r="JY31" s="289"/>
      <c r="JZ31" s="289"/>
      <c r="KA31" s="289"/>
      <c r="KB31" s="289"/>
      <c r="KC31" s="289"/>
      <c r="KD31" s="289"/>
      <c r="KE31" s="289"/>
      <c r="KF31" s="289"/>
      <c r="KG31" s="289"/>
      <c r="KH31" s="289"/>
      <c r="KI31" s="289"/>
      <c r="KJ31" s="289"/>
      <c r="KK31" s="289"/>
      <c r="KL31" s="289"/>
      <c r="KM31" s="289"/>
      <c r="KN31" s="289"/>
      <c r="KO31" s="289"/>
      <c r="KP31" s="289"/>
      <c r="KQ31" s="289"/>
      <c r="KR31" s="289"/>
      <c r="KS31" s="289"/>
      <c r="KT31" s="289"/>
      <c r="KU31" s="289"/>
      <c r="KV31" s="289"/>
      <c r="KW31" s="289"/>
      <c r="KX31" s="289"/>
      <c r="KY31" s="289"/>
      <c r="KZ31" s="289"/>
      <c r="LA31" s="289"/>
      <c r="LB31" s="289"/>
      <c r="LC31" s="289"/>
      <c r="LD31" s="289"/>
      <c r="LE31" s="289"/>
      <c r="LF31" s="289"/>
      <c r="LG31" s="289"/>
      <c r="LH31" s="289"/>
      <c r="LI31" s="289"/>
      <c r="LJ31" s="289"/>
      <c r="LK31" s="289"/>
      <c r="LL31" s="289"/>
      <c r="LM31" s="289"/>
      <c r="LN31" s="289"/>
      <c r="LO31" s="289"/>
      <c r="LP31" s="289"/>
      <c r="LQ31" s="289"/>
      <c r="LR31" s="289"/>
      <c r="LS31" s="289"/>
      <c r="LT31" s="289"/>
      <c r="LU31" s="289"/>
      <c r="LV31" s="289"/>
      <c r="LW31" s="289"/>
      <c r="LX31" s="289"/>
      <c r="LY31" s="289"/>
      <c r="LZ31" s="289"/>
      <c r="MA31" s="289"/>
      <c r="MB31" s="289"/>
      <c r="MC31" s="289"/>
      <c r="MD31" s="289"/>
      <c r="ME31" s="289"/>
      <c r="MF31" s="289"/>
      <c r="MG31" s="289"/>
      <c r="MH31" s="289"/>
      <c r="MI31" s="289"/>
      <c r="MJ31" s="289"/>
      <c r="MK31" s="289"/>
      <c r="ML31" s="289"/>
      <c r="MM31" s="289"/>
      <c r="MN31" s="289"/>
      <c r="MO31" s="289"/>
      <c r="MP31" s="289"/>
      <c r="MQ31" s="289"/>
      <c r="MR31" s="289"/>
      <c r="MS31" s="289"/>
      <c r="MT31" s="289"/>
      <c r="MU31" s="289"/>
      <c r="MV31" s="289"/>
      <c r="MW31" s="289"/>
      <c r="MX31" s="289"/>
      <c r="MY31" s="289"/>
      <c r="MZ31" s="289"/>
      <c r="NA31" s="289"/>
      <c r="NB31" s="289"/>
      <c r="NC31" s="289"/>
      <c r="ND31" s="289"/>
      <c r="NE31" s="289"/>
      <c r="NF31" s="289"/>
      <c r="NG31" s="289"/>
      <c r="NH31" s="289"/>
      <c r="NI31" s="289"/>
      <c r="NJ31" s="289"/>
      <c r="NK31" s="289"/>
      <c r="NL31" s="289"/>
      <c r="NM31" s="289"/>
      <c r="NN31" s="289"/>
      <c r="NO31" s="289"/>
      <c r="NP31" s="289"/>
      <c r="NQ31" s="289"/>
      <c r="NR31" s="289"/>
      <c r="NS31" s="289"/>
      <c r="NT31" s="289"/>
      <c r="NU31" s="289"/>
      <c r="NV31" s="289"/>
      <c r="NW31" s="289"/>
      <c r="NX31" s="289"/>
      <c r="NY31" s="289"/>
      <c r="NZ31" s="289"/>
      <c r="OA31" s="289"/>
      <c r="OB31" s="289"/>
      <c r="OC31" s="289"/>
    </row>
    <row r="32" spans="1:393" x14ac:dyDescent="0.2"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  <c r="IX32" s="289"/>
      <c r="IY32" s="289"/>
      <c r="IZ32" s="289"/>
      <c r="JA32" s="289"/>
      <c r="JB32" s="289"/>
      <c r="JC32" s="289"/>
      <c r="JD32" s="289"/>
      <c r="JE32" s="289"/>
      <c r="JF32" s="289"/>
      <c r="JG32" s="289"/>
      <c r="JH32" s="289"/>
      <c r="JI32" s="289"/>
      <c r="JJ32" s="289"/>
      <c r="JK32" s="289"/>
      <c r="JL32" s="289"/>
      <c r="JM32" s="289"/>
      <c r="JN32" s="289"/>
      <c r="JO32" s="289"/>
      <c r="JP32" s="289"/>
      <c r="JQ32" s="289"/>
      <c r="JR32" s="289"/>
      <c r="JS32" s="289"/>
      <c r="JT32" s="289"/>
      <c r="JU32" s="289"/>
      <c r="JV32" s="289"/>
      <c r="JW32" s="289"/>
      <c r="JX32" s="289"/>
      <c r="JY32" s="289"/>
      <c r="JZ32" s="289"/>
      <c r="KA32" s="289"/>
      <c r="KB32" s="289"/>
      <c r="KC32" s="289"/>
      <c r="KD32" s="289"/>
      <c r="KE32" s="289"/>
      <c r="KF32" s="289"/>
      <c r="KG32" s="289"/>
      <c r="KH32" s="289"/>
      <c r="KI32" s="289"/>
      <c r="KJ32" s="289"/>
      <c r="KK32" s="289"/>
      <c r="KL32" s="289"/>
      <c r="KM32" s="289"/>
      <c r="KN32" s="289"/>
      <c r="KO32" s="289"/>
      <c r="KP32" s="289"/>
      <c r="KQ32" s="289"/>
      <c r="KR32" s="289"/>
      <c r="KS32" s="289"/>
      <c r="KT32" s="289"/>
      <c r="KU32" s="289"/>
      <c r="KV32" s="289"/>
      <c r="KW32" s="289"/>
      <c r="KX32" s="289"/>
      <c r="KY32" s="289"/>
      <c r="KZ32" s="289"/>
      <c r="LA32" s="289"/>
      <c r="LB32" s="289"/>
      <c r="LC32" s="289"/>
      <c r="LD32" s="289"/>
      <c r="LE32" s="289"/>
      <c r="LF32" s="289"/>
      <c r="LG32" s="289"/>
      <c r="LH32" s="289"/>
      <c r="LI32" s="289"/>
      <c r="LJ32" s="289"/>
      <c r="LK32" s="289"/>
      <c r="LL32" s="289"/>
      <c r="LM32" s="289"/>
      <c r="LN32" s="289"/>
      <c r="LO32" s="289"/>
      <c r="LP32" s="289"/>
      <c r="LQ32" s="289"/>
      <c r="LR32" s="289"/>
      <c r="LS32" s="289"/>
      <c r="LT32" s="289"/>
      <c r="LU32" s="289"/>
      <c r="LV32" s="289"/>
      <c r="LW32" s="289"/>
      <c r="LX32" s="289"/>
      <c r="LY32" s="289"/>
      <c r="LZ32" s="289"/>
      <c r="MA32" s="289"/>
      <c r="MB32" s="289"/>
      <c r="MC32" s="289"/>
      <c r="MD32" s="289"/>
      <c r="ME32" s="289"/>
      <c r="MF32" s="289"/>
      <c r="MG32" s="289"/>
      <c r="MH32" s="289"/>
      <c r="MI32" s="289"/>
      <c r="MJ32" s="289"/>
      <c r="MK32" s="289"/>
      <c r="ML32" s="289"/>
      <c r="MM32" s="289"/>
      <c r="MN32" s="289"/>
      <c r="MO32" s="289"/>
      <c r="MP32" s="289"/>
      <c r="MQ32" s="289"/>
      <c r="MR32" s="289"/>
      <c r="MS32" s="289"/>
      <c r="MT32" s="289"/>
      <c r="MU32" s="289"/>
      <c r="MV32" s="289"/>
      <c r="MW32" s="289"/>
      <c r="MX32" s="289"/>
      <c r="MY32" s="289"/>
      <c r="MZ32" s="289"/>
      <c r="NA32" s="289"/>
      <c r="NB32" s="289"/>
      <c r="NC32" s="289"/>
      <c r="ND32" s="289"/>
      <c r="NE32" s="289"/>
      <c r="NF32" s="289"/>
      <c r="NG32" s="289"/>
      <c r="NH32" s="289"/>
      <c r="NI32" s="289"/>
      <c r="NJ32" s="289"/>
      <c r="NK32" s="289"/>
      <c r="NL32" s="289"/>
      <c r="NM32" s="289"/>
      <c r="NN32" s="289"/>
      <c r="NO32" s="289"/>
      <c r="NP32" s="289"/>
      <c r="NQ32" s="289"/>
      <c r="NR32" s="289"/>
      <c r="NS32" s="289"/>
      <c r="NT32" s="289"/>
      <c r="NU32" s="289"/>
      <c r="NV32" s="289"/>
      <c r="NW32" s="289"/>
      <c r="NX32" s="289"/>
      <c r="NY32" s="289"/>
      <c r="NZ32" s="289"/>
      <c r="OA32" s="289"/>
      <c r="OB32" s="289"/>
      <c r="OC32" s="289"/>
    </row>
    <row r="33" spans="13:393" x14ac:dyDescent="0.2"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  <c r="IX33" s="289"/>
      <c r="IY33" s="289"/>
      <c r="IZ33" s="289"/>
      <c r="JA33" s="289"/>
      <c r="JB33" s="289"/>
      <c r="JC33" s="289"/>
      <c r="JD33" s="289"/>
      <c r="JE33" s="289"/>
      <c r="JF33" s="289"/>
      <c r="JG33" s="289"/>
      <c r="JH33" s="289"/>
      <c r="JI33" s="289"/>
      <c r="JJ33" s="289"/>
      <c r="JK33" s="289"/>
      <c r="JL33" s="289"/>
      <c r="JM33" s="289"/>
      <c r="JN33" s="289"/>
      <c r="JO33" s="289"/>
      <c r="JP33" s="289"/>
      <c r="JQ33" s="289"/>
      <c r="JR33" s="289"/>
      <c r="JS33" s="289"/>
      <c r="JT33" s="289"/>
      <c r="JU33" s="289"/>
      <c r="JV33" s="289"/>
      <c r="JW33" s="289"/>
      <c r="JX33" s="289"/>
      <c r="JY33" s="289"/>
      <c r="JZ33" s="289"/>
      <c r="KA33" s="289"/>
      <c r="KB33" s="289"/>
      <c r="KC33" s="289"/>
      <c r="KD33" s="289"/>
      <c r="KE33" s="289"/>
      <c r="KF33" s="289"/>
      <c r="KG33" s="289"/>
      <c r="KH33" s="289"/>
      <c r="KI33" s="289"/>
      <c r="KJ33" s="289"/>
      <c r="KK33" s="289"/>
      <c r="KL33" s="289"/>
      <c r="KM33" s="289"/>
      <c r="KN33" s="289"/>
      <c r="KO33" s="289"/>
      <c r="KP33" s="289"/>
      <c r="KQ33" s="289"/>
      <c r="KR33" s="289"/>
      <c r="KS33" s="289"/>
      <c r="KT33" s="289"/>
      <c r="KU33" s="289"/>
      <c r="KV33" s="289"/>
      <c r="KW33" s="289"/>
      <c r="KX33" s="289"/>
      <c r="KY33" s="289"/>
      <c r="KZ33" s="289"/>
      <c r="LA33" s="289"/>
      <c r="LB33" s="289"/>
      <c r="LC33" s="289"/>
      <c r="LD33" s="289"/>
      <c r="LE33" s="289"/>
      <c r="LF33" s="289"/>
      <c r="LG33" s="289"/>
      <c r="LH33" s="289"/>
      <c r="LI33" s="289"/>
      <c r="LJ33" s="289"/>
      <c r="LK33" s="289"/>
      <c r="LL33" s="289"/>
      <c r="LM33" s="289"/>
      <c r="LN33" s="289"/>
      <c r="LO33" s="289"/>
      <c r="LP33" s="289"/>
      <c r="LQ33" s="289"/>
      <c r="LR33" s="289"/>
      <c r="LS33" s="289"/>
      <c r="LT33" s="289"/>
      <c r="LU33" s="289"/>
      <c r="LV33" s="289"/>
      <c r="LW33" s="289"/>
      <c r="LX33" s="289"/>
      <c r="LY33" s="289"/>
      <c r="LZ33" s="289"/>
      <c r="MA33" s="289"/>
      <c r="MB33" s="289"/>
      <c r="MC33" s="289"/>
      <c r="MD33" s="289"/>
      <c r="ME33" s="289"/>
      <c r="MF33" s="289"/>
      <c r="MG33" s="289"/>
      <c r="MH33" s="289"/>
      <c r="MI33" s="289"/>
      <c r="MJ33" s="289"/>
      <c r="MK33" s="289"/>
      <c r="ML33" s="289"/>
      <c r="MM33" s="289"/>
      <c r="MN33" s="289"/>
      <c r="MO33" s="289"/>
      <c r="MP33" s="289"/>
      <c r="MQ33" s="289"/>
      <c r="MR33" s="289"/>
      <c r="MS33" s="289"/>
      <c r="MT33" s="289"/>
      <c r="MU33" s="289"/>
      <c r="MV33" s="289"/>
      <c r="MW33" s="289"/>
      <c r="MX33" s="289"/>
      <c r="MY33" s="289"/>
      <c r="MZ33" s="289"/>
      <c r="NA33" s="289"/>
      <c r="NB33" s="289"/>
      <c r="NC33" s="289"/>
      <c r="ND33" s="289"/>
      <c r="NE33" s="289"/>
      <c r="NF33" s="289"/>
      <c r="NG33" s="289"/>
      <c r="NH33" s="289"/>
      <c r="NI33" s="289"/>
      <c r="NJ33" s="289"/>
      <c r="NK33" s="289"/>
      <c r="NL33" s="289"/>
      <c r="NM33" s="289"/>
      <c r="NN33" s="289"/>
      <c r="NO33" s="289"/>
      <c r="NP33" s="289"/>
      <c r="NQ33" s="289"/>
      <c r="NR33" s="289"/>
      <c r="NS33" s="289"/>
      <c r="NT33" s="289"/>
      <c r="NU33" s="289"/>
      <c r="NV33" s="289"/>
      <c r="NW33" s="289"/>
      <c r="NX33" s="289"/>
      <c r="NY33" s="289"/>
      <c r="NZ33" s="289"/>
      <c r="OA33" s="289"/>
      <c r="OB33" s="289"/>
      <c r="OC33" s="289"/>
    </row>
  </sheetData>
  <mergeCells count="6">
    <mergeCell ref="A25:H25"/>
    <mergeCell ref="I3:J3"/>
    <mergeCell ref="A1:J1"/>
    <mergeCell ref="A2:J2"/>
    <mergeCell ref="A4:C4"/>
    <mergeCell ref="I4:J4"/>
  </mergeCells>
  <phoneticPr fontId="3" type="noConversion"/>
  <printOptions horizontalCentered="1" verticalCentered="1"/>
  <pageMargins left="0.55000000000000004" right="0.99" top="0.02" bottom="0.98425196850393704" header="0.78740157480314998" footer="0.511811023622047"/>
  <pageSetup scale="96" orientation="landscape" verticalDpi="300" r:id="rId1"/>
  <headerFooter alignWithMargins="0">
    <oddFooter>&amp;C32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7"/>
  <sheetViews>
    <sheetView rightToLeft="1" zoomScaleSheetLayoutView="100" workbookViewId="0">
      <selection activeCell="M17" sqref="M17"/>
    </sheetView>
  </sheetViews>
  <sheetFormatPr defaultRowHeight="12.75" x14ac:dyDescent="0.2"/>
  <cols>
    <col min="1" max="1" width="11.28515625" customWidth="1"/>
    <col min="2" max="2" width="10.140625" bestFit="1" customWidth="1"/>
    <col min="3" max="3" width="14.140625" customWidth="1"/>
    <col min="4" max="4" width="10.7109375" customWidth="1"/>
    <col min="5" max="5" width="14" customWidth="1"/>
    <col min="6" max="6" width="11.42578125" customWidth="1"/>
    <col min="7" max="7" width="16.28515625" customWidth="1"/>
    <col min="8" max="8" width="22" customWidth="1"/>
    <col min="9" max="9" width="1" hidden="1" customWidth="1"/>
    <col min="10" max="10" width="1.42578125" hidden="1" customWidth="1"/>
    <col min="11" max="11" width="5.5703125" customWidth="1"/>
  </cols>
  <sheetData>
    <row r="1" spans="1:21" ht="15" x14ac:dyDescent="0.2">
      <c r="A1" s="970" t="s">
        <v>435</v>
      </c>
      <c r="B1" s="970"/>
      <c r="C1" s="970"/>
      <c r="D1" s="970"/>
      <c r="E1" s="970"/>
      <c r="F1" s="970"/>
      <c r="G1" s="970"/>
      <c r="H1" s="970"/>
    </row>
    <row r="2" spans="1:21" x14ac:dyDescent="0.2">
      <c r="A2" s="971" t="s">
        <v>437</v>
      </c>
      <c r="B2" s="971"/>
      <c r="C2" s="971"/>
      <c r="D2" s="971"/>
      <c r="E2" s="971"/>
      <c r="F2" s="971"/>
      <c r="G2" s="971"/>
      <c r="H2" s="971"/>
    </row>
    <row r="3" spans="1:21" ht="17.25" customHeight="1" x14ac:dyDescent="0.2">
      <c r="A3" s="971"/>
      <c r="B3" s="971"/>
      <c r="C3" s="971"/>
      <c r="D3" s="971"/>
      <c r="E3" s="971"/>
      <c r="F3" s="971"/>
      <c r="G3" s="971"/>
      <c r="H3" s="971"/>
    </row>
    <row r="4" spans="1:21" s="6" customFormat="1" ht="17.25" customHeight="1" x14ac:dyDescent="0.2">
      <c r="A4" s="209"/>
      <c r="B4" s="209"/>
      <c r="C4" s="209"/>
      <c r="D4" s="209"/>
      <c r="E4" s="209"/>
      <c r="F4" s="209"/>
      <c r="G4" s="967" t="s">
        <v>477</v>
      </c>
      <c r="H4" s="967"/>
    </row>
    <row r="5" spans="1:21" ht="17.25" customHeight="1" thickBot="1" x14ac:dyDescent="0.3">
      <c r="A5" s="969" t="s">
        <v>488</v>
      </c>
      <c r="B5" s="969"/>
      <c r="C5" s="102" t="s">
        <v>170</v>
      </c>
      <c r="D5" s="18"/>
      <c r="E5" s="18"/>
      <c r="F5" s="103"/>
      <c r="G5" s="104" t="s">
        <v>315</v>
      </c>
      <c r="H5" s="105" t="s">
        <v>314</v>
      </c>
      <c r="I5" s="3"/>
    </row>
    <row r="6" spans="1:21" ht="15" customHeight="1" x14ac:dyDescent="0.25">
      <c r="A6" s="8"/>
      <c r="B6" s="109" t="s">
        <v>45</v>
      </c>
      <c r="C6" s="109"/>
      <c r="D6" s="109" t="s">
        <v>44</v>
      </c>
      <c r="E6" s="109"/>
      <c r="F6" s="703" t="s">
        <v>0</v>
      </c>
      <c r="G6" s="110"/>
      <c r="H6" s="109"/>
    </row>
    <row r="7" spans="1:21" ht="15" customHeight="1" x14ac:dyDescent="0.25">
      <c r="A7" s="18"/>
      <c r="B7" s="106" t="s">
        <v>165</v>
      </c>
      <c r="C7" s="106"/>
      <c r="D7" s="165" t="s">
        <v>164</v>
      </c>
      <c r="E7" s="106"/>
      <c r="F7" s="704" t="s">
        <v>1</v>
      </c>
      <c r="G7" s="107"/>
      <c r="H7" s="106"/>
    </row>
    <row r="8" spans="1:21" ht="15" customHeight="1" thickBot="1" x14ac:dyDescent="0.25">
      <c r="A8" s="371"/>
      <c r="B8" s="372" t="s">
        <v>36</v>
      </c>
      <c r="C8" s="372" t="s">
        <v>224</v>
      </c>
      <c r="D8" s="372" t="s">
        <v>36</v>
      </c>
      <c r="E8" s="372" t="s">
        <v>224</v>
      </c>
      <c r="F8" s="372" t="s">
        <v>36</v>
      </c>
      <c r="G8" s="805" t="s">
        <v>224</v>
      </c>
      <c r="H8" s="108"/>
    </row>
    <row r="9" spans="1:21" s="3" customFormat="1" ht="15" customHeight="1" thickBot="1" x14ac:dyDescent="0.25">
      <c r="A9" s="764" t="s">
        <v>51</v>
      </c>
      <c r="B9" s="765" t="s">
        <v>153</v>
      </c>
      <c r="C9" s="766" t="s">
        <v>29</v>
      </c>
      <c r="D9" s="766" t="s">
        <v>153</v>
      </c>
      <c r="E9" s="766" t="s">
        <v>29</v>
      </c>
      <c r="F9" s="766" t="s">
        <v>153</v>
      </c>
      <c r="G9" s="806" t="s">
        <v>29</v>
      </c>
      <c r="H9" s="767" t="s">
        <v>26</v>
      </c>
    </row>
    <row r="10" spans="1:21" s="395" customFormat="1" ht="15" customHeight="1" x14ac:dyDescent="0.25">
      <c r="A10" s="432" t="s">
        <v>356</v>
      </c>
      <c r="B10" s="771">
        <v>2233</v>
      </c>
      <c r="C10" s="392">
        <v>201677</v>
      </c>
      <c r="D10" s="771">
        <v>1595</v>
      </c>
      <c r="E10" s="392">
        <v>119397</v>
      </c>
      <c r="F10" s="771">
        <f>B10+D10</f>
        <v>3828</v>
      </c>
      <c r="G10" s="407">
        <f>C10+E10</f>
        <v>321074</v>
      </c>
      <c r="H10" s="433" t="s">
        <v>357</v>
      </c>
    </row>
    <row r="11" spans="1:21" s="290" customFormat="1" ht="15" customHeight="1" x14ac:dyDescent="0.25">
      <c r="A11" s="684" t="s">
        <v>30</v>
      </c>
      <c r="B11" s="772">
        <v>13101</v>
      </c>
      <c r="C11" s="661">
        <v>899329</v>
      </c>
      <c r="D11" s="772">
        <v>6583</v>
      </c>
      <c r="E11" s="661">
        <v>389674</v>
      </c>
      <c r="F11" s="772">
        <f t="shared" ref="F11:F24" si="0">B11+D11</f>
        <v>19684</v>
      </c>
      <c r="G11" s="654">
        <f t="shared" ref="G11:G24" si="1">C11+E11</f>
        <v>1289003</v>
      </c>
      <c r="H11" s="685" t="s">
        <v>31</v>
      </c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</row>
    <row r="12" spans="1:21" s="289" customFormat="1" ht="15" customHeight="1" x14ac:dyDescent="0.25">
      <c r="A12" s="667" t="s">
        <v>3</v>
      </c>
      <c r="B12" s="773">
        <v>21218</v>
      </c>
      <c r="C12" s="153">
        <v>1899400</v>
      </c>
      <c r="D12" s="773">
        <v>3049</v>
      </c>
      <c r="E12" s="153">
        <v>138115</v>
      </c>
      <c r="F12" s="771">
        <f t="shared" si="0"/>
        <v>24267</v>
      </c>
      <c r="G12" s="407">
        <f t="shared" si="1"/>
        <v>2037515</v>
      </c>
      <c r="H12" s="668" t="s">
        <v>15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</row>
    <row r="13" spans="1:21" s="290" customFormat="1" ht="15" customHeight="1" x14ac:dyDescent="0.25">
      <c r="A13" s="684" t="s">
        <v>342</v>
      </c>
      <c r="B13" s="772">
        <v>5460</v>
      </c>
      <c r="C13" s="661">
        <f>B13*89</f>
        <v>485940</v>
      </c>
      <c r="D13" s="772">
        <v>631</v>
      </c>
      <c r="E13" s="661">
        <v>20923</v>
      </c>
      <c r="F13" s="772">
        <f t="shared" si="0"/>
        <v>6091</v>
      </c>
      <c r="G13" s="654">
        <f t="shared" si="1"/>
        <v>506863</v>
      </c>
      <c r="H13" s="685" t="s">
        <v>337</v>
      </c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</row>
    <row r="14" spans="1:21" s="289" customFormat="1" ht="15" customHeight="1" x14ac:dyDescent="0.25">
      <c r="A14" s="667" t="s">
        <v>4</v>
      </c>
      <c r="B14" s="773">
        <v>128057</v>
      </c>
      <c r="C14" s="153">
        <f>B14*89</f>
        <v>11397073</v>
      </c>
      <c r="D14" s="773">
        <v>9400</v>
      </c>
      <c r="E14" s="153">
        <v>658309</v>
      </c>
      <c r="F14" s="771">
        <f t="shared" si="0"/>
        <v>137457</v>
      </c>
      <c r="G14" s="407">
        <f t="shared" si="1"/>
        <v>12055382</v>
      </c>
      <c r="H14" s="668" t="s">
        <v>16</v>
      </c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</row>
    <row r="15" spans="1:21" s="290" customFormat="1" ht="15" customHeight="1" x14ac:dyDescent="0.25">
      <c r="A15" s="686" t="s">
        <v>5</v>
      </c>
      <c r="B15" s="772">
        <v>6175</v>
      </c>
      <c r="C15" s="661">
        <f>B15*89</f>
        <v>549575</v>
      </c>
      <c r="D15" s="772">
        <v>1082</v>
      </c>
      <c r="E15" s="661">
        <v>55945</v>
      </c>
      <c r="F15" s="772">
        <f t="shared" si="0"/>
        <v>7257</v>
      </c>
      <c r="G15" s="654">
        <f t="shared" si="1"/>
        <v>605520</v>
      </c>
      <c r="H15" s="687" t="s">
        <v>23</v>
      </c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</row>
    <row r="16" spans="1:21" s="289" customFormat="1" ht="15" customHeight="1" x14ac:dyDescent="0.25">
      <c r="A16" s="667" t="s">
        <v>6</v>
      </c>
      <c r="B16" s="773">
        <v>11250</v>
      </c>
      <c r="C16" s="153">
        <v>944399</v>
      </c>
      <c r="D16" s="773">
        <v>1081</v>
      </c>
      <c r="E16" s="153">
        <f>D16*64</f>
        <v>69184</v>
      </c>
      <c r="F16" s="771">
        <f t="shared" si="0"/>
        <v>12331</v>
      </c>
      <c r="G16" s="407">
        <f t="shared" si="1"/>
        <v>1013583</v>
      </c>
      <c r="H16" s="668" t="s">
        <v>24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290" customFormat="1" ht="15" customHeight="1" x14ac:dyDescent="0.25">
      <c r="A17" s="686" t="s">
        <v>11</v>
      </c>
      <c r="B17" s="772">
        <v>2897</v>
      </c>
      <c r="C17" s="661">
        <f>B17*89</f>
        <v>257833</v>
      </c>
      <c r="D17" s="772">
        <v>592</v>
      </c>
      <c r="E17" s="661">
        <v>19572</v>
      </c>
      <c r="F17" s="772">
        <f t="shared" si="0"/>
        <v>3489</v>
      </c>
      <c r="G17" s="654">
        <f t="shared" si="1"/>
        <v>277405</v>
      </c>
      <c r="H17" s="687" t="s">
        <v>21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289" customFormat="1" ht="15" customHeight="1" x14ac:dyDescent="0.25">
      <c r="A18" s="667" t="s">
        <v>2</v>
      </c>
      <c r="B18" s="773">
        <v>3413</v>
      </c>
      <c r="C18" s="153">
        <v>226114</v>
      </c>
      <c r="D18" s="773">
        <v>2651</v>
      </c>
      <c r="E18" s="153">
        <v>105518</v>
      </c>
      <c r="F18" s="771">
        <f t="shared" si="0"/>
        <v>6064</v>
      </c>
      <c r="G18" s="407">
        <f t="shared" si="1"/>
        <v>331632</v>
      </c>
      <c r="H18" s="668" t="s">
        <v>14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290" customFormat="1" ht="15" customHeight="1" x14ac:dyDescent="0.25">
      <c r="A19" s="686" t="s">
        <v>7</v>
      </c>
      <c r="B19" s="772">
        <v>11469</v>
      </c>
      <c r="C19" s="661">
        <v>796440</v>
      </c>
      <c r="D19" s="772">
        <v>1874</v>
      </c>
      <c r="E19" s="661">
        <v>312828</v>
      </c>
      <c r="F19" s="772">
        <f t="shared" si="0"/>
        <v>13343</v>
      </c>
      <c r="G19" s="654">
        <f t="shared" si="1"/>
        <v>1109268</v>
      </c>
      <c r="H19" s="687" t="s">
        <v>17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289" customFormat="1" ht="15" customHeight="1" x14ac:dyDescent="0.25">
      <c r="A20" s="667" t="s">
        <v>8</v>
      </c>
      <c r="B20" s="773">
        <v>3816</v>
      </c>
      <c r="C20" s="153">
        <v>363294</v>
      </c>
      <c r="D20" s="773">
        <v>903</v>
      </c>
      <c r="E20" s="153">
        <v>83761</v>
      </c>
      <c r="F20" s="771">
        <f t="shared" si="0"/>
        <v>4719</v>
      </c>
      <c r="G20" s="407">
        <f t="shared" si="1"/>
        <v>447055</v>
      </c>
      <c r="H20" s="668" t="s">
        <v>18</v>
      </c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290" customFormat="1" ht="15" customHeight="1" x14ac:dyDescent="0.25">
      <c r="A21" s="686" t="s">
        <v>9</v>
      </c>
      <c r="B21" s="772">
        <v>3180</v>
      </c>
      <c r="C21" s="661">
        <v>352568</v>
      </c>
      <c r="D21" s="772">
        <v>2473</v>
      </c>
      <c r="E21" s="661">
        <v>209621</v>
      </c>
      <c r="F21" s="772">
        <f t="shared" si="0"/>
        <v>5653</v>
      </c>
      <c r="G21" s="654">
        <f t="shared" si="1"/>
        <v>562189</v>
      </c>
      <c r="H21" s="687" t="s">
        <v>19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289" customFormat="1" ht="15" customHeight="1" x14ac:dyDescent="0.25">
      <c r="A22" s="667" t="s">
        <v>10</v>
      </c>
      <c r="B22" s="773">
        <v>3123</v>
      </c>
      <c r="C22" s="153">
        <v>255392</v>
      </c>
      <c r="D22" s="773">
        <v>1198</v>
      </c>
      <c r="E22" s="153">
        <v>48397</v>
      </c>
      <c r="F22" s="771">
        <f t="shared" si="0"/>
        <v>4321</v>
      </c>
      <c r="G22" s="407">
        <f t="shared" si="1"/>
        <v>303789</v>
      </c>
      <c r="H22" s="668" t="s">
        <v>20</v>
      </c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290" customFormat="1" ht="15" customHeight="1" x14ac:dyDescent="0.25">
      <c r="A23" s="686" t="s">
        <v>12</v>
      </c>
      <c r="B23" s="772">
        <v>1619</v>
      </c>
      <c r="C23" s="661">
        <v>125834</v>
      </c>
      <c r="D23" s="772">
        <v>569</v>
      </c>
      <c r="E23" s="661">
        <v>48109</v>
      </c>
      <c r="F23" s="772">
        <f t="shared" si="0"/>
        <v>2188</v>
      </c>
      <c r="G23" s="654">
        <f t="shared" si="1"/>
        <v>173943</v>
      </c>
      <c r="H23" s="687" t="s">
        <v>25</v>
      </c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289" customFormat="1" ht="15" customHeight="1" thickBot="1" x14ac:dyDescent="0.3">
      <c r="A24" s="434" t="s">
        <v>13</v>
      </c>
      <c r="B24" s="771">
        <v>11974</v>
      </c>
      <c r="C24" s="392">
        <f>B24*89</f>
        <v>1065686</v>
      </c>
      <c r="D24" s="771">
        <v>1240</v>
      </c>
      <c r="E24" s="392">
        <v>86729</v>
      </c>
      <c r="F24" s="771">
        <f t="shared" si="0"/>
        <v>13214</v>
      </c>
      <c r="G24" s="407">
        <f t="shared" si="1"/>
        <v>1152415</v>
      </c>
      <c r="H24" s="435" t="s">
        <v>22</v>
      </c>
    </row>
    <row r="25" spans="1:21" s="395" customFormat="1" ht="16.5" customHeight="1" thickTop="1" thickBot="1" x14ac:dyDescent="0.3">
      <c r="A25" s="768" t="s">
        <v>0</v>
      </c>
      <c r="B25" s="770">
        <f t="shared" ref="B25:G25" si="2">SUM(B10:B24)</f>
        <v>228985</v>
      </c>
      <c r="C25" s="770">
        <f>SUM(C10:C24)</f>
        <v>19820554</v>
      </c>
      <c r="D25" s="770">
        <f t="shared" si="2"/>
        <v>34921</v>
      </c>
      <c r="E25" s="770">
        <f>SUM(E10:E24)</f>
        <v>2366082</v>
      </c>
      <c r="F25" s="770">
        <f t="shared" si="2"/>
        <v>263906</v>
      </c>
      <c r="G25" s="769">
        <f t="shared" si="2"/>
        <v>22186636</v>
      </c>
      <c r="H25" s="768" t="s">
        <v>1</v>
      </c>
    </row>
    <row r="26" spans="1:21" ht="33.75" customHeight="1" thickTop="1" x14ac:dyDescent="0.2">
      <c r="A26" s="948"/>
      <c r="B26" s="948"/>
      <c r="C26" s="948"/>
      <c r="D26" s="948"/>
      <c r="E26" s="6"/>
      <c r="F26" s="6"/>
      <c r="G26" s="6"/>
      <c r="H26" s="972"/>
      <c r="I26" s="972"/>
      <c r="J26" s="5"/>
    </row>
    <row r="27" spans="1:21" ht="15" customHeight="1" x14ac:dyDescent="0.2">
      <c r="B27" s="217"/>
      <c r="C27" s="217"/>
      <c r="D27" s="217"/>
      <c r="E27" s="217"/>
      <c r="F27" s="217"/>
      <c r="G27" s="217"/>
      <c r="H27" s="217"/>
    </row>
  </sheetData>
  <mergeCells count="6">
    <mergeCell ref="G4:H4"/>
    <mergeCell ref="A5:B5"/>
    <mergeCell ref="A1:H1"/>
    <mergeCell ref="A2:H3"/>
    <mergeCell ref="H26:I26"/>
    <mergeCell ref="A26:D26"/>
  </mergeCells>
  <phoneticPr fontId="3" type="noConversion"/>
  <printOptions horizontalCentered="1" verticalCentered="1"/>
  <pageMargins left="0.97" right="1.2" top="1.0374015750000001" bottom="0.98425196850393704" header="0.78740157480314998" footer="0.511811023622047"/>
  <pageSetup orientation="landscape" verticalDpi="300" r:id="rId1"/>
  <headerFooter alignWithMargins="0">
    <oddFooter>&amp;C33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zoomScaleSheetLayoutView="100" workbookViewId="0">
      <selection activeCell="O35" sqref="O35"/>
    </sheetView>
  </sheetViews>
  <sheetFormatPr defaultRowHeight="12.75" x14ac:dyDescent="0.2"/>
  <sheetData/>
  <phoneticPr fontId="3" type="noConversion"/>
  <printOptions horizontalCentered="1" verticalCentered="1"/>
  <pageMargins left="0.67" right="0.96" top="1.58" bottom="1.06" header="0.64" footer="0.51181102362204722"/>
  <pageSetup scale="95" orientation="landscape" horizontalDpi="4294967293" verticalDpi="1200" r:id="rId1"/>
  <headerFooter alignWithMargins="0">
    <oddFooter>&amp;C34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7"/>
  <sheetViews>
    <sheetView rightToLeft="1" showWhiteSpace="0" zoomScaleSheetLayoutView="91" workbookViewId="0">
      <selection activeCell="O31" sqref="O31"/>
    </sheetView>
  </sheetViews>
  <sheetFormatPr defaultRowHeight="12.75" x14ac:dyDescent="0.2"/>
  <cols>
    <col min="1" max="1" width="8.7109375" customWidth="1"/>
    <col min="2" max="2" width="12.85546875" style="173" customWidth="1"/>
    <col min="3" max="3" width="12.85546875" style="5" customWidth="1"/>
    <col min="4" max="4" width="14.140625" style="5" customWidth="1"/>
    <col min="5" max="5" width="16.7109375" style="5" customWidth="1"/>
    <col min="6" max="6" width="12.28515625" style="5" customWidth="1"/>
    <col min="7" max="7" width="11.5703125" style="5" customWidth="1"/>
    <col min="8" max="8" width="14.7109375" customWidth="1"/>
    <col min="9" max="9" width="0.28515625" hidden="1" customWidth="1"/>
    <col min="10" max="10" width="0.42578125" hidden="1" customWidth="1"/>
    <col min="11" max="11" width="3.85546875" hidden="1" customWidth="1"/>
    <col min="12" max="12" width="9.140625" hidden="1" customWidth="1"/>
    <col min="13" max="13" width="3.28515625" customWidth="1"/>
  </cols>
  <sheetData>
    <row r="1" spans="1:21" ht="15" x14ac:dyDescent="0.25">
      <c r="A1" s="903" t="s">
        <v>438</v>
      </c>
      <c r="B1" s="903"/>
      <c r="C1" s="903"/>
      <c r="D1" s="903"/>
      <c r="E1" s="903"/>
      <c r="F1" s="903"/>
      <c r="G1" s="903"/>
      <c r="H1" s="903"/>
      <c r="I1" s="18"/>
      <c r="M1" s="289"/>
      <c r="N1" s="289"/>
      <c r="O1" s="289"/>
      <c r="P1" s="289"/>
      <c r="Q1" s="289"/>
      <c r="R1" s="289"/>
      <c r="S1" s="289"/>
      <c r="T1" s="289"/>
      <c r="U1" s="289"/>
    </row>
    <row r="2" spans="1:21" ht="15" x14ac:dyDescent="0.25">
      <c r="A2" s="905" t="s">
        <v>433</v>
      </c>
      <c r="B2" s="905"/>
      <c r="C2" s="905"/>
      <c r="D2" s="905"/>
      <c r="E2" s="905"/>
      <c r="F2" s="905"/>
      <c r="G2" s="905"/>
      <c r="H2" s="905"/>
      <c r="I2" s="18"/>
      <c r="M2" s="289"/>
      <c r="N2" s="289"/>
      <c r="O2" s="289"/>
      <c r="P2" s="289"/>
      <c r="Q2" s="289"/>
      <c r="R2" s="289"/>
      <c r="S2" s="289"/>
      <c r="T2" s="289"/>
      <c r="U2" s="289"/>
    </row>
    <row r="3" spans="1:21" s="6" customFormat="1" ht="13.5" customHeight="1" x14ac:dyDescent="0.25">
      <c r="A3" s="204"/>
      <c r="B3" s="574"/>
      <c r="C3" s="204"/>
      <c r="D3" s="204"/>
      <c r="E3" s="204"/>
      <c r="F3" s="204"/>
      <c r="G3" s="926" t="s">
        <v>477</v>
      </c>
      <c r="H3" s="926"/>
      <c r="I3" s="18"/>
      <c r="M3" s="289"/>
      <c r="N3" s="289"/>
      <c r="O3" s="289"/>
      <c r="P3" s="289"/>
      <c r="Q3" s="289"/>
      <c r="R3" s="289"/>
      <c r="S3" s="289"/>
      <c r="T3" s="289"/>
      <c r="U3" s="289"/>
    </row>
    <row r="4" spans="1:21" ht="33.75" customHeight="1" thickBot="1" x14ac:dyDescent="0.3">
      <c r="A4" s="912" t="s">
        <v>489</v>
      </c>
      <c r="B4" s="912"/>
      <c r="C4" s="705" t="s">
        <v>264</v>
      </c>
      <c r="D4" s="112"/>
      <c r="E4" s="60"/>
      <c r="F4" s="60"/>
      <c r="G4" s="60" t="s">
        <v>316</v>
      </c>
      <c r="H4" s="58" t="s">
        <v>314</v>
      </c>
      <c r="I4" s="41"/>
      <c r="J4" s="3"/>
      <c r="M4" s="289"/>
      <c r="N4" s="289"/>
      <c r="O4" s="289"/>
      <c r="P4" s="289"/>
      <c r="Q4" s="289"/>
      <c r="R4" s="289"/>
      <c r="S4" s="289"/>
      <c r="T4" s="289"/>
      <c r="U4" s="289"/>
    </row>
    <row r="5" spans="1:21" ht="15" customHeight="1" x14ac:dyDescent="0.25">
      <c r="A5" s="38"/>
      <c r="B5" s="575" t="s">
        <v>44</v>
      </c>
      <c r="C5" s="114"/>
      <c r="D5" s="114" t="s">
        <v>59</v>
      </c>
      <c r="E5" s="114"/>
      <c r="F5" s="114" t="s">
        <v>61</v>
      </c>
      <c r="G5" s="115"/>
      <c r="H5" s="26"/>
      <c r="I5" s="39"/>
      <c r="M5" s="289"/>
      <c r="N5" s="289"/>
      <c r="O5" s="289"/>
      <c r="P5" s="289"/>
      <c r="Q5" s="289"/>
      <c r="R5" s="289"/>
      <c r="S5" s="289"/>
      <c r="T5" s="289"/>
      <c r="U5" s="289"/>
    </row>
    <row r="6" spans="1:21" ht="15" customHeight="1" x14ac:dyDescent="0.25">
      <c r="A6" s="41"/>
      <c r="B6" s="574" t="s">
        <v>164</v>
      </c>
      <c r="C6" s="113"/>
      <c r="D6" s="113" t="s">
        <v>269</v>
      </c>
      <c r="E6" s="113"/>
      <c r="F6" s="113" t="s">
        <v>268</v>
      </c>
      <c r="G6" s="47"/>
      <c r="H6" s="40"/>
      <c r="I6" s="40"/>
      <c r="K6" s="6"/>
      <c r="M6" s="289"/>
      <c r="N6" s="289"/>
      <c r="O6" s="289"/>
      <c r="P6" s="289"/>
      <c r="Q6" s="289"/>
      <c r="R6" s="289"/>
      <c r="S6" s="289"/>
      <c r="T6" s="289"/>
      <c r="U6" s="289"/>
    </row>
    <row r="7" spans="1:21" s="325" customFormat="1" ht="15" customHeight="1" thickBot="1" x14ac:dyDescent="0.3">
      <c r="A7" s="156"/>
      <c r="B7" s="576" t="s">
        <v>189</v>
      </c>
      <c r="C7" s="53" t="s">
        <v>224</v>
      </c>
      <c r="D7" s="53" t="s">
        <v>189</v>
      </c>
      <c r="E7" s="53" t="s">
        <v>224</v>
      </c>
      <c r="F7" s="53" t="s">
        <v>189</v>
      </c>
      <c r="G7" s="53" t="s">
        <v>224</v>
      </c>
      <c r="H7" s="156"/>
      <c r="I7" s="155"/>
      <c r="M7" s="395"/>
      <c r="N7" s="395"/>
      <c r="O7" s="395"/>
      <c r="P7" s="395"/>
      <c r="Q7" s="395"/>
      <c r="R7" s="395"/>
      <c r="S7" s="395"/>
      <c r="T7" s="395"/>
      <c r="U7" s="395"/>
    </row>
    <row r="8" spans="1:21" s="325" customFormat="1" ht="15" customHeight="1" thickBot="1" x14ac:dyDescent="0.3">
      <c r="A8" s="750" t="s">
        <v>58</v>
      </c>
      <c r="B8" s="774" t="s">
        <v>128</v>
      </c>
      <c r="C8" s="775" t="s">
        <v>29</v>
      </c>
      <c r="D8" s="775" t="s">
        <v>128</v>
      </c>
      <c r="E8" s="775" t="s">
        <v>29</v>
      </c>
      <c r="F8" s="775" t="s">
        <v>128</v>
      </c>
      <c r="G8" s="775" t="s">
        <v>29</v>
      </c>
      <c r="H8" s="666" t="s">
        <v>26</v>
      </c>
      <c r="I8" s="155"/>
      <c r="M8" s="395"/>
      <c r="N8" s="395"/>
      <c r="O8" s="395"/>
      <c r="P8" s="395"/>
      <c r="Q8" s="395"/>
      <c r="R8" s="395"/>
      <c r="S8" s="395"/>
      <c r="T8" s="395"/>
      <c r="U8" s="395"/>
    </row>
    <row r="9" spans="1:21" s="395" customFormat="1" ht="15" customHeight="1" x14ac:dyDescent="0.25">
      <c r="A9" s="670" t="s">
        <v>356</v>
      </c>
      <c r="B9" s="482">
        <v>201</v>
      </c>
      <c r="C9" s="482">
        <v>2202</v>
      </c>
      <c r="D9" s="688">
        <v>422</v>
      </c>
      <c r="E9" s="153">
        <v>5898</v>
      </c>
      <c r="F9" s="689">
        <v>0</v>
      </c>
      <c r="G9" s="153">
        <v>0</v>
      </c>
      <c r="H9" s="671" t="s">
        <v>357</v>
      </c>
      <c r="I9" s="394"/>
    </row>
    <row r="10" spans="1:21" s="290" customFormat="1" ht="15" customHeight="1" x14ac:dyDescent="0.25">
      <c r="A10" s="691" t="s">
        <v>30</v>
      </c>
      <c r="B10" s="660">
        <v>127</v>
      </c>
      <c r="C10" s="660">
        <f>B10*10</f>
        <v>1270</v>
      </c>
      <c r="D10" s="692">
        <v>839</v>
      </c>
      <c r="E10" s="661">
        <v>10067</v>
      </c>
      <c r="F10" s="693">
        <v>0</v>
      </c>
      <c r="G10" s="661">
        <v>0</v>
      </c>
      <c r="H10" s="655" t="s">
        <v>31</v>
      </c>
      <c r="I10" s="8"/>
      <c r="M10" s="289"/>
      <c r="N10" s="289"/>
      <c r="O10" s="289"/>
      <c r="P10" s="289"/>
      <c r="Q10" s="289"/>
      <c r="R10" s="289"/>
      <c r="S10" s="289"/>
      <c r="T10" s="289"/>
      <c r="U10" s="289"/>
    </row>
    <row r="11" spans="1:21" s="289" customFormat="1" ht="15" customHeight="1" x14ac:dyDescent="0.25">
      <c r="A11" s="580" t="s">
        <v>3</v>
      </c>
      <c r="B11" s="482">
        <v>710</v>
      </c>
      <c r="C11" s="482">
        <v>4268</v>
      </c>
      <c r="D11" s="688">
        <v>2027</v>
      </c>
      <c r="E11" s="153">
        <v>30408</v>
      </c>
      <c r="F11" s="689">
        <v>0</v>
      </c>
      <c r="G11" s="153">
        <v>0</v>
      </c>
      <c r="H11" s="671" t="s">
        <v>15</v>
      </c>
      <c r="I11" s="288"/>
    </row>
    <row r="12" spans="1:21" s="290" customFormat="1" ht="15" customHeight="1" x14ac:dyDescent="0.25">
      <c r="A12" s="691" t="s">
        <v>342</v>
      </c>
      <c r="B12" s="660">
        <v>208</v>
      </c>
      <c r="C12" s="660">
        <f>B12*10</f>
        <v>2080</v>
      </c>
      <c r="D12" s="692">
        <v>580</v>
      </c>
      <c r="E12" s="661">
        <v>8115</v>
      </c>
      <c r="F12" s="693">
        <v>9</v>
      </c>
      <c r="G12" s="661">
        <v>186</v>
      </c>
      <c r="H12" s="655" t="s">
        <v>337</v>
      </c>
      <c r="I12" s="8"/>
      <c r="M12" s="289"/>
      <c r="N12" s="289"/>
      <c r="O12" s="289"/>
      <c r="P12" s="289"/>
      <c r="Q12" s="289"/>
      <c r="R12" s="289"/>
      <c r="S12" s="289"/>
      <c r="T12" s="289"/>
      <c r="U12" s="289"/>
    </row>
    <row r="13" spans="1:21" s="289" customFormat="1" ht="15" customHeight="1" x14ac:dyDescent="0.25">
      <c r="A13" s="580" t="s">
        <v>4</v>
      </c>
      <c r="B13" s="482">
        <v>5124</v>
      </c>
      <c r="C13" s="482">
        <v>41099</v>
      </c>
      <c r="D13" s="688">
        <v>7592</v>
      </c>
      <c r="E13" s="153">
        <v>129002</v>
      </c>
      <c r="F13" s="689">
        <v>335</v>
      </c>
      <c r="G13" s="153">
        <v>9890</v>
      </c>
      <c r="H13" s="671" t="s">
        <v>16</v>
      </c>
      <c r="I13" s="288"/>
    </row>
    <row r="14" spans="1:21" s="290" customFormat="1" ht="15" customHeight="1" x14ac:dyDescent="0.25">
      <c r="A14" s="694" t="s">
        <v>5</v>
      </c>
      <c r="B14" s="660">
        <v>917</v>
      </c>
      <c r="C14" s="660">
        <f>B14*10</f>
        <v>9170</v>
      </c>
      <c r="D14" s="692">
        <v>950</v>
      </c>
      <c r="E14" s="661">
        <v>14247</v>
      </c>
      <c r="F14" s="693">
        <v>44</v>
      </c>
      <c r="G14" s="661">
        <v>1196</v>
      </c>
      <c r="H14" s="655" t="s">
        <v>23</v>
      </c>
      <c r="I14" s="8"/>
      <c r="M14" s="289"/>
      <c r="N14" s="289"/>
      <c r="O14" s="289"/>
      <c r="P14" s="289"/>
      <c r="Q14" s="289"/>
      <c r="R14" s="289"/>
      <c r="S14" s="289"/>
      <c r="T14" s="289"/>
      <c r="U14" s="289"/>
    </row>
    <row r="15" spans="1:21" s="289" customFormat="1" ht="15" customHeight="1" x14ac:dyDescent="0.25">
      <c r="A15" s="580" t="s">
        <v>6</v>
      </c>
      <c r="B15" s="482">
        <v>361</v>
      </c>
      <c r="C15" s="482">
        <f>B15*10</f>
        <v>3610</v>
      </c>
      <c r="D15" s="688">
        <v>892</v>
      </c>
      <c r="E15" s="153">
        <v>13395</v>
      </c>
      <c r="F15" s="689">
        <v>32</v>
      </c>
      <c r="G15" s="153">
        <f>F15*25</f>
        <v>800</v>
      </c>
      <c r="H15" s="671" t="s">
        <v>24</v>
      </c>
      <c r="I15" s="288"/>
    </row>
    <row r="16" spans="1:21" s="290" customFormat="1" ht="18" customHeight="1" x14ac:dyDescent="0.25">
      <c r="A16" s="694" t="s">
        <v>11</v>
      </c>
      <c r="B16" s="660">
        <v>318</v>
      </c>
      <c r="C16" s="660">
        <f>B16*10</f>
        <v>3180</v>
      </c>
      <c r="D16" s="692">
        <v>579</v>
      </c>
      <c r="E16" s="661">
        <v>6963</v>
      </c>
      <c r="F16" s="693">
        <v>59</v>
      </c>
      <c r="G16" s="661">
        <v>1559</v>
      </c>
      <c r="H16" s="655" t="s">
        <v>21</v>
      </c>
      <c r="I16" s="8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9" customFormat="1" ht="18" customHeight="1" x14ac:dyDescent="0.25">
      <c r="A17" s="580" t="s">
        <v>2</v>
      </c>
      <c r="B17" s="482">
        <v>130</v>
      </c>
      <c r="C17" s="482">
        <v>1039</v>
      </c>
      <c r="D17" s="688">
        <v>427</v>
      </c>
      <c r="E17" s="153">
        <v>5550</v>
      </c>
      <c r="F17" s="689">
        <v>0</v>
      </c>
      <c r="G17" s="153">
        <v>0</v>
      </c>
      <c r="H17" s="671" t="s">
        <v>14</v>
      </c>
      <c r="I17" s="288"/>
    </row>
    <row r="18" spans="1:21" s="290" customFormat="1" ht="15" customHeight="1" x14ac:dyDescent="0.25">
      <c r="A18" s="694" t="s">
        <v>7</v>
      </c>
      <c r="B18" s="660">
        <v>3951</v>
      </c>
      <c r="C18" s="660">
        <v>59261</v>
      </c>
      <c r="D18" s="692">
        <v>1513</v>
      </c>
      <c r="E18" s="661">
        <v>22699</v>
      </c>
      <c r="F18" s="693">
        <v>0</v>
      </c>
      <c r="G18" s="661">
        <v>0</v>
      </c>
      <c r="H18" s="655" t="s">
        <v>17</v>
      </c>
      <c r="I18" s="8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9" customFormat="1" ht="15" customHeight="1" x14ac:dyDescent="0.25">
      <c r="A19" s="580" t="s">
        <v>8</v>
      </c>
      <c r="B19" s="482">
        <v>947</v>
      </c>
      <c r="C19" s="482">
        <v>8530</v>
      </c>
      <c r="D19" s="688">
        <v>1007</v>
      </c>
      <c r="E19" s="153">
        <v>12077</v>
      </c>
      <c r="F19" s="689">
        <v>0</v>
      </c>
      <c r="G19" s="153">
        <v>0</v>
      </c>
      <c r="H19" s="671" t="s">
        <v>18</v>
      </c>
      <c r="I19" s="288"/>
    </row>
    <row r="20" spans="1:21" s="290" customFormat="1" ht="14.25" customHeight="1" x14ac:dyDescent="0.25">
      <c r="A20" s="694" t="s">
        <v>9</v>
      </c>
      <c r="B20" s="660">
        <v>653</v>
      </c>
      <c r="C20" s="660">
        <f>B20*10</f>
        <v>6530</v>
      </c>
      <c r="D20" s="692">
        <v>850</v>
      </c>
      <c r="E20" s="661">
        <v>10188</v>
      </c>
      <c r="F20" s="693">
        <v>0</v>
      </c>
      <c r="G20" s="661">
        <v>0</v>
      </c>
      <c r="H20" s="655" t="s">
        <v>19</v>
      </c>
      <c r="I20" s="8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9" customFormat="1" ht="12.75" customHeight="1" x14ac:dyDescent="0.25">
      <c r="A21" s="580" t="s">
        <v>10</v>
      </c>
      <c r="B21" s="482">
        <v>1066</v>
      </c>
      <c r="C21" s="482">
        <f>B21*10</f>
        <v>10660</v>
      </c>
      <c r="D21" s="688">
        <v>1088</v>
      </c>
      <c r="E21" s="153">
        <v>13056</v>
      </c>
      <c r="F21" s="689">
        <v>0</v>
      </c>
      <c r="G21" s="153">
        <v>0</v>
      </c>
      <c r="H21" s="671" t="s">
        <v>20</v>
      </c>
      <c r="I21" s="288"/>
    </row>
    <row r="22" spans="1:21" s="290" customFormat="1" ht="15" customHeight="1" x14ac:dyDescent="0.25">
      <c r="A22" s="694" t="s">
        <v>12</v>
      </c>
      <c r="B22" s="660">
        <v>53</v>
      </c>
      <c r="C22" s="660">
        <v>580</v>
      </c>
      <c r="D22" s="692">
        <v>291</v>
      </c>
      <c r="E22" s="661">
        <v>4066</v>
      </c>
      <c r="F22" s="693">
        <v>4</v>
      </c>
      <c r="G22" s="661">
        <v>114</v>
      </c>
      <c r="H22" s="655" t="s">
        <v>25</v>
      </c>
      <c r="I22" s="8"/>
      <c r="M22" s="289"/>
      <c r="N22" s="289"/>
      <c r="O22" s="289"/>
      <c r="P22" s="289"/>
      <c r="Q22" s="289"/>
      <c r="R22" s="289"/>
      <c r="S22" s="289"/>
      <c r="T22" s="289"/>
      <c r="U22" s="289"/>
    </row>
    <row r="23" spans="1:21" s="289" customFormat="1" ht="15" customHeight="1" thickBot="1" x14ac:dyDescent="0.3">
      <c r="A23" s="580" t="s">
        <v>13</v>
      </c>
      <c r="B23" s="482">
        <v>985</v>
      </c>
      <c r="C23" s="482">
        <f>B23*10</f>
        <v>9850</v>
      </c>
      <c r="D23" s="688">
        <v>1185</v>
      </c>
      <c r="E23" s="153">
        <v>22492</v>
      </c>
      <c r="F23" s="689">
        <v>9</v>
      </c>
      <c r="G23" s="153">
        <v>261</v>
      </c>
      <c r="H23" s="671" t="s">
        <v>22</v>
      </c>
      <c r="I23" s="288"/>
    </row>
    <row r="24" spans="1:21" s="325" customFormat="1" ht="17.25" customHeight="1" thickTop="1" thickBot="1" x14ac:dyDescent="0.3">
      <c r="A24" s="674" t="s">
        <v>0</v>
      </c>
      <c r="B24" s="690">
        <v>15750</v>
      </c>
      <c r="C24" s="690">
        <f>SUM(C9:C23)</f>
        <v>163329</v>
      </c>
      <c r="D24" s="690">
        <v>20239</v>
      </c>
      <c r="E24" s="690">
        <v>308224</v>
      </c>
      <c r="F24" s="690">
        <v>494</v>
      </c>
      <c r="G24" s="690">
        <f>SUM(G9:G23)</f>
        <v>14006</v>
      </c>
      <c r="H24" s="678" t="s">
        <v>1</v>
      </c>
      <c r="I24" s="155"/>
      <c r="M24" s="395"/>
      <c r="N24" s="395"/>
      <c r="O24" s="395"/>
      <c r="P24" s="395"/>
      <c r="Q24" s="395"/>
      <c r="R24" s="395"/>
      <c r="S24" s="395"/>
      <c r="T24" s="395"/>
      <c r="U24" s="395"/>
    </row>
    <row r="25" spans="1:21" s="6" customFormat="1" ht="17.25" customHeight="1" thickTop="1" x14ac:dyDescent="0.25">
      <c r="A25" s="948"/>
      <c r="B25" s="948"/>
      <c r="C25" s="948"/>
      <c r="D25" s="948"/>
      <c r="E25" s="948"/>
      <c r="F25" s="948"/>
      <c r="G25" s="78"/>
      <c r="H25" s="54"/>
      <c r="I25" s="18"/>
    </row>
    <row r="26" spans="1:21" ht="14.25" x14ac:dyDescent="0.2">
      <c r="C26" s="6"/>
      <c r="D26" s="6"/>
      <c r="E26" s="6"/>
      <c r="H26" s="186"/>
    </row>
    <row r="27" spans="1:21" ht="16.5" customHeight="1" x14ac:dyDescent="0.25">
      <c r="A27" s="973"/>
      <c r="B27" s="973"/>
      <c r="C27" s="6"/>
      <c r="D27" s="6"/>
      <c r="E27" s="73"/>
      <c r="G27" s="974"/>
      <c r="H27" s="974"/>
    </row>
  </sheetData>
  <mergeCells count="7">
    <mergeCell ref="G3:H3"/>
    <mergeCell ref="A27:B27"/>
    <mergeCell ref="G27:H27"/>
    <mergeCell ref="A1:H1"/>
    <mergeCell ref="A2:H2"/>
    <mergeCell ref="A4:B4"/>
    <mergeCell ref="A25:F25"/>
  </mergeCells>
  <phoneticPr fontId="3" type="noConversion"/>
  <printOptions horizontalCentered="1" verticalCentered="1"/>
  <pageMargins left="0.55000000000000004" right="0.75" top="0.65" bottom="0.98425196850393704" header="0.89" footer="0.511811023622047"/>
  <pageSetup scale="99" orientation="landscape" verticalDpi="300" r:id="rId1"/>
  <headerFooter alignWithMargins="0">
    <oddFooter>&amp;C35</oddFooter>
  </headerFooter>
  <cellWatches>
    <cellWatch r="C9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O33"/>
  <sheetViews>
    <sheetView rightToLeft="1" zoomScaleSheetLayoutView="95" workbookViewId="0">
      <selection activeCell="A4" sqref="A4"/>
    </sheetView>
  </sheetViews>
  <sheetFormatPr defaultRowHeight="12.75" x14ac:dyDescent="0.2"/>
  <cols>
    <col min="1" max="1" width="12" customWidth="1"/>
    <col min="2" max="2" width="9.5703125" customWidth="1"/>
    <col min="3" max="3" width="12.42578125" customWidth="1"/>
    <col min="4" max="4" width="11.85546875" customWidth="1"/>
    <col min="5" max="5" width="14.28515625" customWidth="1"/>
    <col min="6" max="6" width="0.28515625" style="6" hidden="1" customWidth="1"/>
    <col min="7" max="7" width="14.28515625" customWidth="1"/>
    <col min="8" max="8" width="18.7109375" customWidth="1"/>
    <col min="9" max="9" width="0.140625" hidden="1" customWidth="1"/>
    <col min="10" max="10" width="0.85546875" hidden="1" customWidth="1"/>
    <col min="11" max="11" width="10.140625" style="289" customWidth="1"/>
    <col min="12" max="12" width="6.28515625" style="289" customWidth="1"/>
    <col min="13" max="691" width="9.140625" style="289"/>
  </cols>
  <sheetData>
    <row r="1" spans="1:691" ht="15" customHeight="1" x14ac:dyDescent="0.2">
      <c r="A1" s="903" t="s">
        <v>470</v>
      </c>
      <c r="B1" s="903"/>
      <c r="C1" s="903"/>
      <c r="D1" s="903"/>
      <c r="E1" s="903"/>
      <c r="F1" s="903"/>
      <c r="G1" s="903"/>
      <c r="H1" s="903"/>
    </row>
    <row r="2" spans="1:691" ht="12.75" customHeight="1" x14ac:dyDescent="0.2">
      <c r="A2" s="960" t="s">
        <v>439</v>
      </c>
      <c r="B2" s="960"/>
      <c r="C2" s="960"/>
      <c r="D2" s="960"/>
      <c r="E2" s="960"/>
      <c r="F2" s="960"/>
      <c r="G2" s="960"/>
      <c r="H2" s="960"/>
      <c r="I2" t="s">
        <v>344</v>
      </c>
    </row>
    <row r="3" spans="1:691" s="6" customFormat="1" ht="12.75" customHeight="1" x14ac:dyDescent="0.25">
      <c r="A3" s="204"/>
      <c r="B3" s="204"/>
      <c r="C3" s="204"/>
      <c r="D3" s="204"/>
      <c r="E3" s="204"/>
      <c r="F3" s="512"/>
      <c r="G3" s="204"/>
      <c r="H3" s="853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  <c r="IJ3" s="289"/>
      <c r="IK3" s="289"/>
      <c r="IL3" s="289"/>
      <c r="IM3" s="289"/>
      <c r="IN3" s="289"/>
      <c r="IO3" s="289"/>
      <c r="IP3" s="289"/>
      <c r="IQ3" s="289"/>
      <c r="IR3" s="289"/>
      <c r="IS3" s="289"/>
      <c r="IT3" s="289"/>
      <c r="IU3" s="289"/>
      <c r="IV3" s="289"/>
      <c r="IW3" s="289"/>
      <c r="IX3" s="289"/>
      <c r="IY3" s="289"/>
      <c r="IZ3" s="289"/>
      <c r="JA3" s="289"/>
      <c r="JB3" s="289"/>
      <c r="JC3" s="289"/>
      <c r="JD3" s="289"/>
      <c r="JE3" s="289"/>
      <c r="JF3" s="289"/>
      <c r="JG3" s="289"/>
      <c r="JH3" s="289"/>
      <c r="JI3" s="289"/>
      <c r="JJ3" s="289"/>
      <c r="JK3" s="289"/>
      <c r="JL3" s="289"/>
      <c r="JM3" s="289"/>
      <c r="JN3" s="289"/>
      <c r="JO3" s="289"/>
      <c r="JP3" s="289"/>
      <c r="JQ3" s="289"/>
      <c r="JR3" s="289"/>
      <c r="JS3" s="289"/>
      <c r="JT3" s="289"/>
      <c r="JU3" s="289"/>
      <c r="JV3" s="289"/>
      <c r="JW3" s="289"/>
      <c r="JX3" s="289"/>
      <c r="JY3" s="289"/>
      <c r="JZ3" s="289"/>
      <c r="KA3" s="289"/>
      <c r="KB3" s="289"/>
      <c r="KC3" s="289"/>
      <c r="KD3" s="289"/>
      <c r="KE3" s="289"/>
      <c r="KF3" s="289"/>
      <c r="KG3" s="289"/>
      <c r="KH3" s="289"/>
      <c r="KI3" s="289"/>
      <c r="KJ3" s="289"/>
      <c r="KK3" s="289"/>
      <c r="KL3" s="289"/>
      <c r="KM3" s="289"/>
      <c r="KN3" s="289"/>
      <c r="KO3" s="289"/>
      <c r="KP3" s="289"/>
      <c r="KQ3" s="289"/>
      <c r="KR3" s="289"/>
      <c r="KS3" s="289"/>
      <c r="KT3" s="289"/>
      <c r="KU3" s="289"/>
      <c r="KV3" s="289"/>
      <c r="KW3" s="289"/>
      <c r="KX3" s="289"/>
      <c r="KY3" s="289"/>
      <c r="KZ3" s="289"/>
      <c r="LA3" s="289"/>
      <c r="LB3" s="289"/>
      <c r="LC3" s="289"/>
      <c r="LD3" s="289"/>
      <c r="LE3" s="289"/>
      <c r="LF3" s="289"/>
      <c r="LG3" s="289"/>
      <c r="LH3" s="289"/>
      <c r="LI3" s="289"/>
      <c r="LJ3" s="289"/>
      <c r="LK3" s="289"/>
      <c r="LL3" s="289"/>
      <c r="LM3" s="289"/>
      <c r="LN3" s="289"/>
      <c r="LO3" s="289"/>
      <c r="LP3" s="289"/>
      <c r="LQ3" s="289"/>
      <c r="LR3" s="289"/>
      <c r="LS3" s="289"/>
      <c r="LT3" s="289"/>
      <c r="LU3" s="289"/>
      <c r="LV3" s="289"/>
      <c r="LW3" s="289"/>
      <c r="LX3" s="289"/>
      <c r="LY3" s="289"/>
      <c r="LZ3" s="289"/>
      <c r="MA3" s="289"/>
      <c r="MB3" s="289"/>
      <c r="MC3" s="289"/>
      <c r="MD3" s="289"/>
      <c r="ME3" s="289"/>
      <c r="MF3" s="289"/>
      <c r="MG3" s="289"/>
      <c r="MH3" s="289"/>
      <c r="MI3" s="289"/>
      <c r="MJ3" s="289"/>
      <c r="MK3" s="289"/>
      <c r="ML3" s="289"/>
      <c r="MM3" s="289"/>
      <c r="MN3" s="289"/>
      <c r="MO3" s="289"/>
      <c r="MP3" s="289"/>
      <c r="MQ3" s="289"/>
      <c r="MR3" s="289"/>
      <c r="MS3" s="289"/>
      <c r="MT3" s="289"/>
      <c r="MU3" s="289"/>
      <c r="MV3" s="289"/>
      <c r="MW3" s="289"/>
      <c r="MX3" s="289"/>
      <c r="MY3" s="289"/>
      <c r="MZ3" s="289"/>
      <c r="NA3" s="289"/>
      <c r="NB3" s="289"/>
      <c r="NC3" s="289"/>
      <c r="ND3" s="289"/>
      <c r="NE3" s="289"/>
      <c r="NF3" s="289"/>
      <c r="NG3" s="289"/>
      <c r="NH3" s="289"/>
      <c r="NI3" s="289"/>
      <c r="NJ3" s="289"/>
      <c r="NK3" s="289"/>
      <c r="NL3" s="289"/>
      <c r="NM3" s="289"/>
      <c r="NN3" s="289"/>
      <c r="NO3" s="289"/>
      <c r="NP3" s="289"/>
      <c r="NQ3" s="289"/>
      <c r="NR3" s="289"/>
      <c r="NS3" s="289"/>
      <c r="NT3" s="289"/>
      <c r="NU3" s="289"/>
      <c r="NV3" s="289"/>
      <c r="NW3" s="289"/>
      <c r="NX3" s="289"/>
      <c r="NY3" s="289"/>
      <c r="NZ3" s="289"/>
      <c r="OA3" s="289"/>
      <c r="OB3" s="289"/>
      <c r="OC3" s="289"/>
      <c r="OD3" s="289"/>
      <c r="OE3" s="289"/>
      <c r="OF3" s="289"/>
      <c r="OG3" s="289"/>
      <c r="OH3" s="289"/>
      <c r="OI3" s="289"/>
      <c r="OJ3" s="289"/>
      <c r="OK3" s="289"/>
      <c r="OL3" s="289"/>
      <c r="OM3" s="289"/>
      <c r="ON3" s="289"/>
      <c r="OO3" s="289"/>
      <c r="OP3" s="289"/>
      <c r="OQ3" s="289"/>
      <c r="OR3" s="289"/>
      <c r="OS3" s="289"/>
      <c r="OT3" s="289"/>
      <c r="OU3" s="289"/>
      <c r="OV3" s="289"/>
      <c r="OW3" s="289"/>
      <c r="OX3" s="289"/>
      <c r="OY3" s="289"/>
      <c r="OZ3" s="289"/>
      <c r="PA3" s="289"/>
      <c r="PB3" s="289"/>
      <c r="PC3" s="289"/>
      <c r="PD3" s="289"/>
      <c r="PE3" s="289"/>
      <c r="PF3" s="289"/>
      <c r="PG3" s="289"/>
      <c r="PH3" s="289"/>
      <c r="PI3" s="289"/>
      <c r="PJ3" s="289"/>
      <c r="PK3" s="289"/>
      <c r="PL3" s="289"/>
      <c r="PM3" s="289"/>
      <c r="PN3" s="289"/>
      <c r="PO3" s="289"/>
      <c r="PP3" s="289"/>
      <c r="PQ3" s="289"/>
      <c r="PR3" s="289"/>
      <c r="PS3" s="289"/>
      <c r="PT3" s="289"/>
      <c r="PU3" s="289"/>
      <c r="PV3" s="289"/>
      <c r="PW3" s="289"/>
      <c r="PX3" s="289"/>
      <c r="PY3" s="289"/>
      <c r="PZ3" s="289"/>
      <c r="QA3" s="289"/>
      <c r="QB3" s="289"/>
      <c r="QC3" s="289"/>
      <c r="QD3" s="289"/>
      <c r="QE3" s="289"/>
      <c r="QF3" s="289"/>
      <c r="QG3" s="289"/>
      <c r="QH3" s="289"/>
      <c r="QI3" s="289"/>
      <c r="QJ3" s="289"/>
      <c r="QK3" s="289"/>
      <c r="QL3" s="289"/>
      <c r="QM3" s="289"/>
      <c r="QN3" s="289"/>
      <c r="QO3" s="289"/>
      <c r="QP3" s="289"/>
      <c r="QQ3" s="289"/>
      <c r="QR3" s="289"/>
      <c r="QS3" s="289"/>
      <c r="QT3" s="289"/>
      <c r="QU3" s="289"/>
      <c r="QV3" s="289"/>
      <c r="QW3" s="289"/>
      <c r="QX3" s="289"/>
      <c r="QY3" s="289"/>
      <c r="QZ3" s="289"/>
      <c r="RA3" s="289"/>
      <c r="RB3" s="289"/>
      <c r="RC3" s="289"/>
      <c r="RD3" s="289"/>
      <c r="RE3" s="289"/>
      <c r="RF3" s="289"/>
      <c r="RG3" s="289"/>
      <c r="RH3" s="289"/>
      <c r="RI3" s="289"/>
      <c r="RJ3" s="289"/>
      <c r="RK3" s="289"/>
      <c r="RL3" s="289"/>
      <c r="RM3" s="289"/>
      <c r="RN3" s="289"/>
      <c r="RO3" s="289"/>
      <c r="RP3" s="289"/>
      <c r="RQ3" s="289"/>
      <c r="RR3" s="289"/>
      <c r="RS3" s="289"/>
      <c r="RT3" s="289"/>
      <c r="RU3" s="289"/>
      <c r="RV3" s="289"/>
      <c r="RW3" s="289"/>
      <c r="RX3" s="289"/>
      <c r="RY3" s="289"/>
      <c r="RZ3" s="289"/>
      <c r="SA3" s="289"/>
      <c r="SB3" s="289"/>
      <c r="SC3" s="289"/>
      <c r="SD3" s="289"/>
      <c r="SE3" s="289"/>
      <c r="SF3" s="289"/>
      <c r="SG3" s="289"/>
      <c r="SH3" s="289"/>
      <c r="SI3" s="289"/>
      <c r="SJ3" s="289"/>
      <c r="SK3" s="289"/>
      <c r="SL3" s="289"/>
      <c r="SM3" s="289"/>
      <c r="SN3" s="289"/>
      <c r="SO3" s="289"/>
      <c r="SP3" s="289"/>
      <c r="SQ3" s="289"/>
      <c r="SR3" s="289"/>
      <c r="SS3" s="289"/>
      <c r="ST3" s="289"/>
      <c r="SU3" s="289"/>
      <c r="SV3" s="289"/>
      <c r="SW3" s="289"/>
      <c r="SX3" s="289"/>
      <c r="SY3" s="289"/>
      <c r="SZ3" s="289"/>
      <c r="TA3" s="289"/>
      <c r="TB3" s="289"/>
      <c r="TC3" s="289"/>
      <c r="TD3" s="289"/>
      <c r="TE3" s="289"/>
      <c r="TF3" s="289"/>
      <c r="TG3" s="289"/>
      <c r="TH3" s="289"/>
      <c r="TI3" s="289"/>
      <c r="TJ3" s="289"/>
      <c r="TK3" s="289"/>
      <c r="TL3" s="289"/>
      <c r="TM3" s="289"/>
      <c r="TN3" s="289"/>
      <c r="TO3" s="289"/>
      <c r="TP3" s="289"/>
      <c r="TQ3" s="289"/>
      <c r="TR3" s="289"/>
      <c r="TS3" s="289"/>
      <c r="TT3" s="289"/>
      <c r="TU3" s="289"/>
      <c r="TV3" s="289"/>
      <c r="TW3" s="289"/>
      <c r="TX3" s="289"/>
      <c r="TY3" s="289"/>
      <c r="TZ3" s="289"/>
      <c r="UA3" s="289"/>
      <c r="UB3" s="289"/>
      <c r="UC3" s="289"/>
      <c r="UD3" s="289"/>
      <c r="UE3" s="289"/>
      <c r="UF3" s="289"/>
      <c r="UG3" s="289"/>
      <c r="UH3" s="289"/>
      <c r="UI3" s="289"/>
      <c r="UJ3" s="289"/>
      <c r="UK3" s="289"/>
      <c r="UL3" s="289"/>
      <c r="UM3" s="289"/>
      <c r="UN3" s="289"/>
      <c r="UO3" s="289"/>
      <c r="UP3" s="289"/>
      <c r="UQ3" s="289"/>
      <c r="UR3" s="289"/>
      <c r="US3" s="289"/>
      <c r="UT3" s="289"/>
      <c r="UU3" s="289"/>
      <c r="UV3" s="289"/>
      <c r="UW3" s="289"/>
      <c r="UX3" s="289"/>
      <c r="UY3" s="289"/>
      <c r="UZ3" s="289"/>
      <c r="VA3" s="289"/>
      <c r="VB3" s="289"/>
      <c r="VC3" s="289"/>
      <c r="VD3" s="289"/>
      <c r="VE3" s="289"/>
      <c r="VF3" s="289"/>
      <c r="VG3" s="289"/>
      <c r="VH3" s="289"/>
      <c r="VI3" s="289"/>
      <c r="VJ3" s="289"/>
      <c r="VK3" s="289"/>
      <c r="VL3" s="289"/>
      <c r="VM3" s="289"/>
      <c r="VN3" s="289"/>
      <c r="VO3" s="289"/>
      <c r="VP3" s="289"/>
      <c r="VQ3" s="289"/>
      <c r="VR3" s="289"/>
      <c r="VS3" s="289"/>
      <c r="VT3" s="289"/>
      <c r="VU3" s="289"/>
      <c r="VV3" s="289"/>
      <c r="VW3" s="289"/>
      <c r="VX3" s="289"/>
      <c r="VY3" s="289"/>
      <c r="VZ3" s="289"/>
      <c r="WA3" s="289"/>
      <c r="WB3" s="289"/>
      <c r="WC3" s="289"/>
      <c r="WD3" s="289"/>
      <c r="WE3" s="289"/>
      <c r="WF3" s="289"/>
      <c r="WG3" s="289"/>
      <c r="WH3" s="289"/>
      <c r="WI3" s="289"/>
      <c r="WJ3" s="289"/>
      <c r="WK3" s="289"/>
      <c r="WL3" s="289"/>
      <c r="WM3" s="289"/>
      <c r="WN3" s="289"/>
      <c r="WO3" s="289"/>
      <c r="WP3" s="289"/>
      <c r="WQ3" s="289"/>
      <c r="WR3" s="289"/>
      <c r="WS3" s="289"/>
      <c r="WT3" s="289"/>
      <c r="WU3" s="289"/>
      <c r="WV3" s="289"/>
      <c r="WW3" s="289"/>
      <c r="WX3" s="289"/>
      <c r="WY3" s="289"/>
      <c r="WZ3" s="289"/>
      <c r="XA3" s="289"/>
      <c r="XB3" s="289"/>
      <c r="XC3" s="289"/>
      <c r="XD3" s="289"/>
      <c r="XE3" s="289"/>
      <c r="XF3" s="289"/>
      <c r="XG3" s="289"/>
      <c r="XH3" s="289"/>
      <c r="XI3" s="289"/>
      <c r="XJ3" s="289"/>
      <c r="XK3" s="289"/>
      <c r="XL3" s="289"/>
      <c r="XM3" s="289"/>
      <c r="XN3" s="289"/>
      <c r="XO3" s="289"/>
      <c r="XP3" s="289"/>
      <c r="XQ3" s="289"/>
      <c r="XR3" s="289"/>
      <c r="XS3" s="289"/>
      <c r="XT3" s="289"/>
      <c r="XU3" s="289"/>
      <c r="XV3" s="289"/>
      <c r="XW3" s="289"/>
      <c r="XX3" s="289"/>
      <c r="XY3" s="289"/>
      <c r="XZ3" s="289"/>
      <c r="YA3" s="289"/>
      <c r="YB3" s="289"/>
      <c r="YC3" s="289"/>
      <c r="YD3" s="289"/>
      <c r="YE3" s="289"/>
      <c r="YF3" s="289"/>
      <c r="YG3" s="289"/>
      <c r="YH3" s="289"/>
      <c r="YI3" s="289"/>
      <c r="YJ3" s="289"/>
      <c r="YK3" s="289"/>
      <c r="YL3" s="289"/>
      <c r="YM3" s="289"/>
      <c r="YN3" s="289"/>
      <c r="YO3" s="289"/>
      <c r="YP3" s="289"/>
      <c r="YQ3" s="289"/>
      <c r="YR3" s="289"/>
      <c r="YS3" s="289"/>
      <c r="YT3" s="289"/>
      <c r="YU3" s="289"/>
      <c r="YV3" s="289"/>
      <c r="YW3" s="289"/>
      <c r="YX3" s="289"/>
      <c r="YY3" s="289"/>
      <c r="YZ3" s="289"/>
      <c r="ZA3" s="289"/>
      <c r="ZB3" s="289"/>
      <c r="ZC3" s="289"/>
      <c r="ZD3" s="289"/>
      <c r="ZE3" s="289"/>
      <c r="ZF3" s="289"/>
      <c r="ZG3" s="289"/>
      <c r="ZH3" s="289"/>
      <c r="ZI3" s="289"/>
      <c r="ZJ3" s="289"/>
      <c r="ZK3" s="289"/>
      <c r="ZL3" s="289"/>
      <c r="ZM3" s="289"/>
      <c r="ZN3" s="289"/>
      <c r="ZO3" s="289"/>
    </row>
    <row r="4" spans="1:691" ht="31.5" customHeight="1" thickBot="1" x14ac:dyDescent="0.3">
      <c r="A4" s="723" t="s">
        <v>489</v>
      </c>
      <c r="B4" s="724"/>
      <c r="C4" s="22"/>
      <c r="D4" s="24"/>
      <c r="E4" s="24"/>
      <c r="F4" s="41"/>
      <c r="G4" s="22"/>
      <c r="H4" s="223" t="s">
        <v>317</v>
      </c>
    </row>
    <row r="5" spans="1:691" ht="30" customHeight="1" x14ac:dyDescent="0.25">
      <c r="A5" s="8"/>
      <c r="B5" s="37" t="s">
        <v>60</v>
      </c>
      <c r="C5" s="36"/>
      <c r="D5" s="116" t="s">
        <v>62</v>
      </c>
      <c r="E5" s="36"/>
      <c r="F5" s="36"/>
      <c r="G5" s="837" t="s">
        <v>464</v>
      </c>
      <c r="H5" s="8"/>
    </row>
    <row r="6" spans="1:691" ht="29.25" customHeight="1" x14ac:dyDescent="0.25">
      <c r="A6" s="18"/>
      <c r="B6" s="174" t="s">
        <v>270</v>
      </c>
      <c r="C6" s="39"/>
      <c r="D6" s="162" t="s">
        <v>200</v>
      </c>
      <c r="E6" s="39"/>
      <c r="F6" s="39"/>
      <c r="G6" s="873" t="s">
        <v>1</v>
      </c>
      <c r="H6" s="18"/>
    </row>
    <row r="7" spans="1:691" s="325" customFormat="1" ht="12.75" customHeight="1" thickBot="1" x14ac:dyDescent="0.25">
      <c r="A7" s="327"/>
      <c r="B7" s="346" t="s">
        <v>222</v>
      </c>
      <c r="C7" s="346" t="s">
        <v>224</v>
      </c>
      <c r="D7" s="346" t="s">
        <v>222</v>
      </c>
      <c r="E7" s="346" t="s">
        <v>224</v>
      </c>
      <c r="F7" s="346"/>
      <c r="G7" s="346" t="s">
        <v>224</v>
      </c>
      <c r="H7" s="344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5"/>
      <c r="DV7" s="395"/>
      <c r="DW7" s="395"/>
      <c r="DX7" s="395"/>
      <c r="DY7" s="395"/>
      <c r="DZ7" s="395"/>
      <c r="EA7" s="395"/>
      <c r="EB7" s="395"/>
      <c r="EC7" s="395"/>
      <c r="ED7" s="395"/>
      <c r="EE7" s="395"/>
      <c r="EF7" s="395"/>
      <c r="EG7" s="395"/>
      <c r="EH7" s="395"/>
      <c r="EI7" s="395"/>
      <c r="EJ7" s="395"/>
      <c r="EK7" s="395"/>
      <c r="EL7" s="395"/>
      <c r="EM7" s="395"/>
      <c r="EN7" s="395"/>
      <c r="EO7" s="395"/>
      <c r="EP7" s="395"/>
      <c r="EQ7" s="395"/>
      <c r="ER7" s="395"/>
      <c r="ES7" s="395"/>
      <c r="ET7" s="395"/>
      <c r="EU7" s="395"/>
      <c r="EV7" s="395"/>
      <c r="EW7" s="395"/>
      <c r="EX7" s="395"/>
      <c r="EY7" s="395"/>
      <c r="EZ7" s="395"/>
      <c r="FA7" s="395"/>
      <c r="FB7" s="395"/>
      <c r="FC7" s="395"/>
      <c r="FD7" s="395"/>
      <c r="FE7" s="395"/>
      <c r="FF7" s="395"/>
      <c r="FG7" s="395"/>
      <c r="FH7" s="395"/>
      <c r="FI7" s="395"/>
      <c r="FJ7" s="395"/>
      <c r="FK7" s="395"/>
      <c r="FL7" s="395"/>
      <c r="FM7" s="395"/>
      <c r="FN7" s="395"/>
      <c r="FO7" s="395"/>
      <c r="FP7" s="395"/>
      <c r="FQ7" s="395"/>
      <c r="FR7" s="395"/>
      <c r="FS7" s="395"/>
      <c r="FT7" s="395"/>
      <c r="FU7" s="395"/>
      <c r="FV7" s="395"/>
      <c r="FW7" s="395"/>
      <c r="FX7" s="395"/>
      <c r="FY7" s="395"/>
      <c r="FZ7" s="395"/>
      <c r="GA7" s="395"/>
      <c r="GB7" s="395"/>
      <c r="GC7" s="395"/>
      <c r="GD7" s="395"/>
      <c r="GE7" s="395"/>
      <c r="GF7" s="395"/>
      <c r="GG7" s="395"/>
      <c r="GH7" s="395"/>
      <c r="GI7" s="395"/>
      <c r="GJ7" s="395"/>
      <c r="GK7" s="395"/>
      <c r="GL7" s="395"/>
      <c r="GM7" s="395"/>
      <c r="GN7" s="395"/>
      <c r="GO7" s="395"/>
      <c r="GP7" s="395"/>
      <c r="GQ7" s="395"/>
      <c r="GR7" s="395"/>
      <c r="GS7" s="395"/>
      <c r="GT7" s="395"/>
      <c r="GU7" s="395"/>
      <c r="GV7" s="395"/>
      <c r="GW7" s="395"/>
      <c r="GX7" s="395"/>
      <c r="GY7" s="395"/>
      <c r="GZ7" s="395"/>
      <c r="HA7" s="395"/>
      <c r="HB7" s="395"/>
      <c r="HC7" s="395"/>
      <c r="HD7" s="395"/>
      <c r="HE7" s="395"/>
      <c r="HF7" s="395"/>
      <c r="HG7" s="395"/>
      <c r="HH7" s="395"/>
      <c r="HI7" s="395"/>
      <c r="HJ7" s="395"/>
      <c r="HK7" s="395"/>
      <c r="HL7" s="395"/>
      <c r="HM7" s="395"/>
      <c r="HN7" s="395"/>
      <c r="HO7" s="395"/>
      <c r="HP7" s="395"/>
      <c r="HQ7" s="395"/>
      <c r="HR7" s="395"/>
      <c r="HS7" s="395"/>
      <c r="HT7" s="395"/>
      <c r="HU7" s="395"/>
      <c r="HV7" s="395"/>
      <c r="HW7" s="395"/>
      <c r="HX7" s="395"/>
      <c r="HY7" s="395"/>
      <c r="HZ7" s="395"/>
      <c r="IA7" s="395"/>
      <c r="IB7" s="395"/>
      <c r="IC7" s="395"/>
      <c r="ID7" s="395"/>
      <c r="IE7" s="395"/>
      <c r="IF7" s="395"/>
      <c r="IG7" s="395"/>
      <c r="IH7" s="395"/>
      <c r="II7" s="395"/>
      <c r="IJ7" s="395"/>
      <c r="IK7" s="395"/>
      <c r="IL7" s="395"/>
      <c r="IM7" s="395"/>
      <c r="IN7" s="395"/>
      <c r="IO7" s="395"/>
      <c r="IP7" s="395"/>
      <c r="IQ7" s="395"/>
      <c r="IR7" s="395"/>
      <c r="IS7" s="395"/>
      <c r="IT7" s="395"/>
      <c r="IU7" s="395"/>
      <c r="IV7" s="395"/>
      <c r="IW7" s="395"/>
      <c r="IX7" s="395"/>
      <c r="IY7" s="395"/>
      <c r="IZ7" s="395"/>
      <c r="JA7" s="395"/>
      <c r="JB7" s="395"/>
      <c r="JC7" s="395"/>
      <c r="JD7" s="395"/>
      <c r="JE7" s="395"/>
      <c r="JF7" s="395"/>
      <c r="JG7" s="395"/>
      <c r="JH7" s="395"/>
      <c r="JI7" s="395"/>
      <c r="JJ7" s="395"/>
      <c r="JK7" s="395"/>
      <c r="JL7" s="395"/>
      <c r="JM7" s="395"/>
      <c r="JN7" s="395"/>
      <c r="JO7" s="395"/>
      <c r="JP7" s="395"/>
      <c r="JQ7" s="395"/>
      <c r="JR7" s="395"/>
      <c r="JS7" s="395"/>
      <c r="JT7" s="395"/>
      <c r="JU7" s="395"/>
      <c r="JV7" s="395"/>
      <c r="JW7" s="395"/>
      <c r="JX7" s="395"/>
      <c r="JY7" s="395"/>
      <c r="JZ7" s="395"/>
      <c r="KA7" s="395"/>
      <c r="KB7" s="395"/>
      <c r="KC7" s="395"/>
      <c r="KD7" s="395"/>
      <c r="KE7" s="395"/>
      <c r="KF7" s="395"/>
      <c r="KG7" s="395"/>
      <c r="KH7" s="395"/>
      <c r="KI7" s="395"/>
      <c r="KJ7" s="395"/>
      <c r="KK7" s="395"/>
      <c r="KL7" s="395"/>
      <c r="KM7" s="395"/>
      <c r="KN7" s="395"/>
      <c r="KO7" s="395"/>
      <c r="KP7" s="395"/>
      <c r="KQ7" s="395"/>
      <c r="KR7" s="395"/>
      <c r="KS7" s="395"/>
      <c r="KT7" s="395"/>
      <c r="KU7" s="395"/>
      <c r="KV7" s="395"/>
      <c r="KW7" s="395"/>
      <c r="KX7" s="395"/>
      <c r="KY7" s="395"/>
      <c r="KZ7" s="395"/>
      <c r="LA7" s="395"/>
      <c r="LB7" s="395"/>
      <c r="LC7" s="395"/>
      <c r="LD7" s="395"/>
      <c r="LE7" s="395"/>
      <c r="LF7" s="395"/>
      <c r="LG7" s="395"/>
      <c r="LH7" s="395"/>
      <c r="LI7" s="395"/>
      <c r="LJ7" s="395"/>
      <c r="LK7" s="395"/>
      <c r="LL7" s="395"/>
      <c r="LM7" s="395"/>
      <c r="LN7" s="395"/>
      <c r="LO7" s="395"/>
      <c r="LP7" s="395"/>
      <c r="LQ7" s="395"/>
      <c r="LR7" s="395"/>
      <c r="LS7" s="395"/>
      <c r="LT7" s="395"/>
      <c r="LU7" s="395"/>
      <c r="LV7" s="395"/>
      <c r="LW7" s="395"/>
      <c r="LX7" s="395"/>
      <c r="LY7" s="395"/>
      <c r="LZ7" s="395"/>
      <c r="MA7" s="395"/>
      <c r="MB7" s="395"/>
      <c r="MC7" s="395"/>
      <c r="MD7" s="395"/>
      <c r="ME7" s="395"/>
      <c r="MF7" s="395"/>
      <c r="MG7" s="395"/>
      <c r="MH7" s="395"/>
      <c r="MI7" s="395"/>
      <c r="MJ7" s="395"/>
      <c r="MK7" s="395"/>
      <c r="ML7" s="395"/>
      <c r="MM7" s="395"/>
      <c r="MN7" s="395"/>
      <c r="MO7" s="395"/>
      <c r="MP7" s="395"/>
      <c r="MQ7" s="395"/>
      <c r="MR7" s="395"/>
      <c r="MS7" s="395"/>
      <c r="MT7" s="395"/>
      <c r="MU7" s="395"/>
      <c r="MV7" s="395"/>
      <c r="MW7" s="395"/>
      <c r="MX7" s="395"/>
      <c r="MY7" s="395"/>
      <c r="MZ7" s="395"/>
      <c r="NA7" s="395"/>
      <c r="NB7" s="395"/>
      <c r="NC7" s="395"/>
      <c r="ND7" s="395"/>
      <c r="NE7" s="395"/>
      <c r="NF7" s="395"/>
      <c r="NG7" s="395"/>
      <c r="NH7" s="395"/>
      <c r="NI7" s="395"/>
      <c r="NJ7" s="395"/>
      <c r="NK7" s="395"/>
      <c r="NL7" s="395"/>
      <c r="NM7" s="395"/>
      <c r="NN7" s="395"/>
      <c r="NO7" s="395"/>
      <c r="NP7" s="395"/>
      <c r="NQ7" s="395"/>
      <c r="NR7" s="395"/>
      <c r="NS7" s="395"/>
      <c r="NT7" s="395"/>
      <c r="NU7" s="395"/>
      <c r="NV7" s="395"/>
      <c r="NW7" s="395"/>
      <c r="NX7" s="395"/>
      <c r="NY7" s="395"/>
      <c r="NZ7" s="395"/>
      <c r="OA7" s="395"/>
      <c r="OB7" s="395"/>
      <c r="OC7" s="395"/>
      <c r="OD7" s="395"/>
      <c r="OE7" s="395"/>
      <c r="OF7" s="395"/>
      <c r="OG7" s="395"/>
      <c r="OH7" s="395"/>
      <c r="OI7" s="395"/>
      <c r="OJ7" s="395"/>
      <c r="OK7" s="395"/>
      <c r="OL7" s="395"/>
      <c r="OM7" s="395"/>
      <c r="ON7" s="395"/>
      <c r="OO7" s="395"/>
      <c r="OP7" s="395"/>
      <c r="OQ7" s="395"/>
      <c r="OR7" s="395"/>
      <c r="OS7" s="395"/>
      <c r="OT7" s="395"/>
      <c r="OU7" s="395"/>
      <c r="OV7" s="395"/>
      <c r="OW7" s="395"/>
      <c r="OX7" s="395"/>
      <c r="OY7" s="395"/>
      <c r="OZ7" s="395"/>
      <c r="PA7" s="395"/>
      <c r="PB7" s="395"/>
      <c r="PC7" s="395"/>
      <c r="PD7" s="395"/>
      <c r="PE7" s="395"/>
      <c r="PF7" s="395"/>
      <c r="PG7" s="395"/>
      <c r="PH7" s="395"/>
      <c r="PI7" s="395"/>
      <c r="PJ7" s="395"/>
      <c r="PK7" s="395"/>
      <c r="PL7" s="395"/>
      <c r="PM7" s="395"/>
      <c r="PN7" s="395"/>
      <c r="PO7" s="395"/>
      <c r="PP7" s="395"/>
      <c r="PQ7" s="395"/>
      <c r="PR7" s="395"/>
      <c r="PS7" s="395"/>
      <c r="PT7" s="395"/>
      <c r="PU7" s="395"/>
      <c r="PV7" s="395"/>
      <c r="PW7" s="395"/>
      <c r="PX7" s="395"/>
      <c r="PY7" s="395"/>
      <c r="PZ7" s="395"/>
      <c r="QA7" s="395"/>
      <c r="QB7" s="395"/>
      <c r="QC7" s="395"/>
      <c r="QD7" s="395"/>
      <c r="QE7" s="395"/>
      <c r="QF7" s="395"/>
      <c r="QG7" s="395"/>
      <c r="QH7" s="395"/>
      <c r="QI7" s="395"/>
      <c r="QJ7" s="395"/>
      <c r="QK7" s="395"/>
      <c r="QL7" s="395"/>
      <c r="QM7" s="395"/>
      <c r="QN7" s="395"/>
      <c r="QO7" s="395"/>
      <c r="QP7" s="395"/>
      <c r="QQ7" s="395"/>
      <c r="QR7" s="395"/>
      <c r="QS7" s="395"/>
      <c r="QT7" s="395"/>
      <c r="QU7" s="395"/>
      <c r="QV7" s="395"/>
      <c r="QW7" s="395"/>
      <c r="QX7" s="395"/>
      <c r="QY7" s="395"/>
      <c r="QZ7" s="395"/>
      <c r="RA7" s="395"/>
      <c r="RB7" s="395"/>
      <c r="RC7" s="395"/>
      <c r="RD7" s="395"/>
      <c r="RE7" s="395"/>
      <c r="RF7" s="395"/>
      <c r="RG7" s="395"/>
      <c r="RH7" s="395"/>
      <c r="RI7" s="395"/>
      <c r="RJ7" s="395"/>
      <c r="RK7" s="395"/>
      <c r="RL7" s="395"/>
      <c r="RM7" s="395"/>
      <c r="RN7" s="395"/>
      <c r="RO7" s="395"/>
      <c r="RP7" s="395"/>
      <c r="RQ7" s="395"/>
      <c r="RR7" s="395"/>
      <c r="RS7" s="395"/>
      <c r="RT7" s="395"/>
      <c r="RU7" s="395"/>
      <c r="RV7" s="395"/>
      <c r="RW7" s="395"/>
      <c r="RX7" s="395"/>
      <c r="RY7" s="395"/>
      <c r="RZ7" s="395"/>
      <c r="SA7" s="395"/>
      <c r="SB7" s="395"/>
      <c r="SC7" s="395"/>
      <c r="SD7" s="395"/>
      <c r="SE7" s="395"/>
      <c r="SF7" s="395"/>
      <c r="SG7" s="395"/>
      <c r="SH7" s="395"/>
      <c r="SI7" s="395"/>
      <c r="SJ7" s="395"/>
      <c r="SK7" s="395"/>
      <c r="SL7" s="395"/>
      <c r="SM7" s="395"/>
      <c r="SN7" s="395"/>
      <c r="SO7" s="395"/>
      <c r="SP7" s="395"/>
      <c r="SQ7" s="395"/>
      <c r="SR7" s="395"/>
      <c r="SS7" s="395"/>
      <c r="ST7" s="395"/>
      <c r="SU7" s="395"/>
      <c r="SV7" s="395"/>
      <c r="SW7" s="395"/>
      <c r="SX7" s="395"/>
      <c r="SY7" s="395"/>
      <c r="SZ7" s="395"/>
      <c r="TA7" s="395"/>
      <c r="TB7" s="395"/>
      <c r="TC7" s="395"/>
      <c r="TD7" s="395"/>
      <c r="TE7" s="395"/>
      <c r="TF7" s="395"/>
      <c r="TG7" s="395"/>
      <c r="TH7" s="395"/>
      <c r="TI7" s="395"/>
      <c r="TJ7" s="395"/>
      <c r="TK7" s="395"/>
      <c r="TL7" s="395"/>
      <c r="TM7" s="395"/>
      <c r="TN7" s="395"/>
      <c r="TO7" s="395"/>
      <c r="TP7" s="395"/>
      <c r="TQ7" s="395"/>
      <c r="TR7" s="395"/>
      <c r="TS7" s="395"/>
      <c r="TT7" s="395"/>
      <c r="TU7" s="395"/>
      <c r="TV7" s="395"/>
      <c r="TW7" s="395"/>
      <c r="TX7" s="395"/>
      <c r="TY7" s="395"/>
      <c r="TZ7" s="395"/>
      <c r="UA7" s="395"/>
      <c r="UB7" s="395"/>
      <c r="UC7" s="395"/>
      <c r="UD7" s="395"/>
      <c r="UE7" s="395"/>
      <c r="UF7" s="395"/>
      <c r="UG7" s="395"/>
      <c r="UH7" s="395"/>
      <c r="UI7" s="395"/>
      <c r="UJ7" s="395"/>
      <c r="UK7" s="395"/>
      <c r="UL7" s="395"/>
      <c r="UM7" s="395"/>
      <c r="UN7" s="395"/>
      <c r="UO7" s="395"/>
      <c r="UP7" s="395"/>
      <c r="UQ7" s="395"/>
      <c r="UR7" s="395"/>
      <c r="US7" s="395"/>
      <c r="UT7" s="395"/>
      <c r="UU7" s="395"/>
      <c r="UV7" s="395"/>
      <c r="UW7" s="395"/>
      <c r="UX7" s="395"/>
      <c r="UY7" s="395"/>
      <c r="UZ7" s="395"/>
      <c r="VA7" s="395"/>
      <c r="VB7" s="395"/>
      <c r="VC7" s="395"/>
      <c r="VD7" s="395"/>
      <c r="VE7" s="395"/>
      <c r="VF7" s="395"/>
      <c r="VG7" s="395"/>
      <c r="VH7" s="395"/>
      <c r="VI7" s="395"/>
      <c r="VJ7" s="395"/>
      <c r="VK7" s="395"/>
      <c r="VL7" s="395"/>
      <c r="VM7" s="395"/>
      <c r="VN7" s="395"/>
      <c r="VO7" s="395"/>
      <c r="VP7" s="395"/>
      <c r="VQ7" s="395"/>
      <c r="VR7" s="395"/>
      <c r="VS7" s="395"/>
      <c r="VT7" s="395"/>
      <c r="VU7" s="395"/>
      <c r="VV7" s="395"/>
      <c r="VW7" s="395"/>
      <c r="VX7" s="395"/>
      <c r="VY7" s="395"/>
      <c r="VZ7" s="395"/>
      <c r="WA7" s="395"/>
      <c r="WB7" s="395"/>
      <c r="WC7" s="395"/>
      <c r="WD7" s="395"/>
      <c r="WE7" s="395"/>
      <c r="WF7" s="395"/>
      <c r="WG7" s="395"/>
      <c r="WH7" s="395"/>
      <c r="WI7" s="395"/>
      <c r="WJ7" s="395"/>
      <c r="WK7" s="395"/>
      <c r="WL7" s="395"/>
      <c r="WM7" s="395"/>
      <c r="WN7" s="395"/>
      <c r="WO7" s="395"/>
      <c r="WP7" s="395"/>
      <c r="WQ7" s="395"/>
      <c r="WR7" s="395"/>
      <c r="WS7" s="395"/>
      <c r="WT7" s="395"/>
      <c r="WU7" s="395"/>
      <c r="WV7" s="395"/>
      <c r="WW7" s="395"/>
      <c r="WX7" s="395"/>
      <c r="WY7" s="395"/>
      <c r="WZ7" s="395"/>
      <c r="XA7" s="395"/>
      <c r="XB7" s="395"/>
      <c r="XC7" s="395"/>
      <c r="XD7" s="395"/>
      <c r="XE7" s="395"/>
      <c r="XF7" s="395"/>
      <c r="XG7" s="395"/>
      <c r="XH7" s="395"/>
      <c r="XI7" s="395"/>
      <c r="XJ7" s="395"/>
      <c r="XK7" s="395"/>
      <c r="XL7" s="395"/>
      <c r="XM7" s="395"/>
      <c r="XN7" s="395"/>
      <c r="XO7" s="395"/>
      <c r="XP7" s="395"/>
      <c r="XQ7" s="395"/>
      <c r="XR7" s="395"/>
      <c r="XS7" s="395"/>
      <c r="XT7" s="395"/>
      <c r="XU7" s="395"/>
      <c r="XV7" s="395"/>
      <c r="XW7" s="395"/>
      <c r="XX7" s="395"/>
      <c r="XY7" s="395"/>
      <c r="XZ7" s="395"/>
      <c r="YA7" s="395"/>
      <c r="YB7" s="395"/>
      <c r="YC7" s="395"/>
      <c r="YD7" s="395"/>
      <c r="YE7" s="395"/>
      <c r="YF7" s="395"/>
      <c r="YG7" s="395"/>
      <c r="YH7" s="395"/>
      <c r="YI7" s="395"/>
      <c r="YJ7" s="395"/>
      <c r="YK7" s="395"/>
      <c r="YL7" s="395"/>
      <c r="YM7" s="395"/>
      <c r="YN7" s="395"/>
      <c r="YO7" s="395"/>
      <c r="YP7" s="395"/>
      <c r="YQ7" s="395"/>
      <c r="YR7" s="395"/>
      <c r="YS7" s="395"/>
      <c r="YT7" s="395"/>
      <c r="YU7" s="395"/>
      <c r="YV7" s="395"/>
      <c r="YW7" s="395"/>
      <c r="YX7" s="395"/>
      <c r="YY7" s="395"/>
      <c r="YZ7" s="395"/>
      <c r="ZA7" s="395"/>
      <c r="ZB7" s="395"/>
      <c r="ZC7" s="395"/>
      <c r="ZD7" s="395"/>
      <c r="ZE7" s="395"/>
      <c r="ZF7" s="395"/>
      <c r="ZG7" s="395"/>
      <c r="ZH7" s="395"/>
      <c r="ZI7" s="395"/>
      <c r="ZJ7" s="395"/>
      <c r="ZK7" s="395"/>
      <c r="ZL7" s="395"/>
      <c r="ZM7" s="395"/>
      <c r="ZN7" s="395"/>
      <c r="ZO7" s="395"/>
    </row>
    <row r="8" spans="1:691" s="324" customFormat="1" ht="17.25" customHeight="1" thickBot="1" x14ac:dyDescent="0.25">
      <c r="A8" s="665" t="s">
        <v>58</v>
      </c>
      <c r="B8" s="750" t="s">
        <v>128</v>
      </c>
      <c r="C8" s="750" t="s">
        <v>271</v>
      </c>
      <c r="D8" s="750" t="s">
        <v>128</v>
      </c>
      <c r="E8" s="750" t="s">
        <v>29</v>
      </c>
      <c r="F8" s="750"/>
      <c r="G8" s="750" t="s">
        <v>186</v>
      </c>
      <c r="H8" s="666" t="s">
        <v>26</v>
      </c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395"/>
      <c r="BW8" s="395"/>
      <c r="BX8" s="395"/>
      <c r="BY8" s="395"/>
      <c r="BZ8" s="395"/>
      <c r="CA8" s="395"/>
      <c r="CB8" s="395"/>
      <c r="CC8" s="395"/>
      <c r="CD8" s="395"/>
      <c r="CE8" s="395"/>
      <c r="CF8" s="395"/>
      <c r="CG8" s="395"/>
      <c r="CH8" s="395"/>
      <c r="CI8" s="395"/>
      <c r="CJ8" s="395"/>
      <c r="CK8" s="395"/>
      <c r="CL8" s="395"/>
      <c r="CM8" s="395"/>
      <c r="CN8" s="395"/>
      <c r="CO8" s="395"/>
      <c r="CP8" s="395"/>
      <c r="CQ8" s="395"/>
      <c r="CR8" s="395"/>
      <c r="CS8" s="395"/>
      <c r="CT8" s="395"/>
      <c r="CU8" s="395"/>
      <c r="CV8" s="395"/>
      <c r="CW8" s="395"/>
      <c r="CX8" s="395"/>
      <c r="CY8" s="395"/>
      <c r="CZ8" s="395"/>
      <c r="DA8" s="395"/>
      <c r="DB8" s="395"/>
      <c r="DC8" s="395"/>
      <c r="DD8" s="395"/>
      <c r="DE8" s="395"/>
      <c r="DF8" s="395"/>
      <c r="DG8" s="395"/>
      <c r="DH8" s="395"/>
      <c r="DI8" s="395"/>
      <c r="DJ8" s="395"/>
      <c r="DK8" s="395"/>
      <c r="DL8" s="395"/>
      <c r="DM8" s="395"/>
      <c r="DN8" s="395"/>
      <c r="DO8" s="395"/>
      <c r="DP8" s="395"/>
      <c r="DQ8" s="395"/>
      <c r="DR8" s="395"/>
      <c r="DS8" s="395"/>
      <c r="DT8" s="395"/>
      <c r="DU8" s="395"/>
      <c r="DV8" s="395"/>
      <c r="DW8" s="395"/>
      <c r="DX8" s="395"/>
      <c r="DY8" s="395"/>
      <c r="DZ8" s="395"/>
      <c r="EA8" s="395"/>
      <c r="EB8" s="395"/>
      <c r="EC8" s="395"/>
      <c r="ED8" s="395"/>
      <c r="EE8" s="395"/>
      <c r="EF8" s="395"/>
      <c r="EG8" s="395"/>
      <c r="EH8" s="395"/>
      <c r="EI8" s="395"/>
      <c r="EJ8" s="395"/>
      <c r="EK8" s="395"/>
      <c r="EL8" s="395"/>
      <c r="EM8" s="395"/>
      <c r="EN8" s="395"/>
      <c r="EO8" s="395"/>
      <c r="EP8" s="395"/>
      <c r="EQ8" s="395"/>
      <c r="ER8" s="395"/>
      <c r="ES8" s="395"/>
      <c r="ET8" s="395"/>
      <c r="EU8" s="395"/>
      <c r="EV8" s="395"/>
      <c r="EW8" s="395"/>
      <c r="EX8" s="395"/>
      <c r="EY8" s="395"/>
      <c r="EZ8" s="395"/>
      <c r="FA8" s="395"/>
      <c r="FB8" s="395"/>
      <c r="FC8" s="395"/>
      <c r="FD8" s="395"/>
      <c r="FE8" s="395"/>
      <c r="FF8" s="395"/>
      <c r="FG8" s="395"/>
      <c r="FH8" s="395"/>
      <c r="FI8" s="395"/>
      <c r="FJ8" s="395"/>
      <c r="FK8" s="395"/>
      <c r="FL8" s="395"/>
      <c r="FM8" s="395"/>
      <c r="FN8" s="395"/>
      <c r="FO8" s="395"/>
      <c r="FP8" s="395"/>
      <c r="FQ8" s="395"/>
      <c r="FR8" s="395"/>
      <c r="FS8" s="395"/>
      <c r="FT8" s="395"/>
      <c r="FU8" s="395"/>
      <c r="FV8" s="395"/>
      <c r="FW8" s="395"/>
      <c r="FX8" s="395"/>
      <c r="FY8" s="395"/>
      <c r="FZ8" s="395"/>
      <c r="GA8" s="395"/>
      <c r="GB8" s="395"/>
      <c r="GC8" s="395"/>
      <c r="GD8" s="395"/>
      <c r="GE8" s="395"/>
      <c r="GF8" s="395"/>
      <c r="GG8" s="395"/>
      <c r="GH8" s="395"/>
      <c r="GI8" s="395"/>
      <c r="GJ8" s="395"/>
      <c r="GK8" s="395"/>
      <c r="GL8" s="395"/>
      <c r="GM8" s="395"/>
      <c r="GN8" s="395"/>
      <c r="GO8" s="395"/>
      <c r="GP8" s="395"/>
      <c r="GQ8" s="395"/>
      <c r="GR8" s="395"/>
      <c r="GS8" s="395"/>
      <c r="GT8" s="395"/>
      <c r="GU8" s="395"/>
      <c r="GV8" s="395"/>
      <c r="GW8" s="395"/>
      <c r="GX8" s="395"/>
      <c r="GY8" s="395"/>
      <c r="GZ8" s="395"/>
      <c r="HA8" s="395"/>
      <c r="HB8" s="395"/>
      <c r="HC8" s="395"/>
      <c r="HD8" s="395"/>
      <c r="HE8" s="395"/>
      <c r="HF8" s="395"/>
      <c r="HG8" s="395"/>
      <c r="HH8" s="395"/>
      <c r="HI8" s="395"/>
      <c r="HJ8" s="395"/>
      <c r="HK8" s="395"/>
      <c r="HL8" s="395"/>
      <c r="HM8" s="395"/>
      <c r="HN8" s="395"/>
      <c r="HO8" s="395"/>
      <c r="HP8" s="395"/>
      <c r="HQ8" s="395"/>
      <c r="HR8" s="395"/>
      <c r="HS8" s="395"/>
      <c r="HT8" s="395"/>
      <c r="HU8" s="395"/>
      <c r="HV8" s="395"/>
      <c r="HW8" s="395"/>
      <c r="HX8" s="395"/>
      <c r="HY8" s="395"/>
      <c r="HZ8" s="395"/>
      <c r="IA8" s="395"/>
      <c r="IB8" s="395"/>
      <c r="IC8" s="395"/>
      <c r="ID8" s="395"/>
      <c r="IE8" s="395"/>
      <c r="IF8" s="395"/>
      <c r="IG8" s="395"/>
      <c r="IH8" s="395"/>
      <c r="II8" s="395"/>
      <c r="IJ8" s="395"/>
      <c r="IK8" s="395"/>
      <c r="IL8" s="395"/>
      <c r="IM8" s="395"/>
      <c r="IN8" s="395"/>
      <c r="IO8" s="395"/>
      <c r="IP8" s="395"/>
      <c r="IQ8" s="395"/>
      <c r="IR8" s="395"/>
      <c r="IS8" s="395"/>
      <c r="IT8" s="395"/>
      <c r="IU8" s="395"/>
      <c r="IV8" s="395"/>
      <c r="IW8" s="395"/>
      <c r="IX8" s="395"/>
      <c r="IY8" s="395"/>
      <c r="IZ8" s="395"/>
      <c r="JA8" s="395"/>
      <c r="JB8" s="395"/>
      <c r="JC8" s="395"/>
      <c r="JD8" s="395"/>
      <c r="JE8" s="395"/>
      <c r="JF8" s="395"/>
      <c r="JG8" s="395"/>
      <c r="JH8" s="395"/>
      <c r="JI8" s="395"/>
      <c r="JJ8" s="395"/>
      <c r="JK8" s="395"/>
      <c r="JL8" s="395"/>
      <c r="JM8" s="395"/>
      <c r="JN8" s="395"/>
      <c r="JO8" s="395"/>
      <c r="JP8" s="395"/>
      <c r="JQ8" s="395"/>
      <c r="JR8" s="395"/>
      <c r="JS8" s="395"/>
      <c r="JT8" s="395"/>
      <c r="JU8" s="395"/>
      <c r="JV8" s="395"/>
      <c r="JW8" s="395"/>
      <c r="JX8" s="395"/>
      <c r="JY8" s="395"/>
      <c r="JZ8" s="395"/>
      <c r="KA8" s="395"/>
      <c r="KB8" s="395"/>
      <c r="KC8" s="395"/>
      <c r="KD8" s="395"/>
      <c r="KE8" s="395"/>
      <c r="KF8" s="395"/>
      <c r="KG8" s="395"/>
      <c r="KH8" s="395"/>
      <c r="KI8" s="395"/>
      <c r="KJ8" s="395"/>
      <c r="KK8" s="395"/>
      <c r="KL8" s="395"/>
      <c r="KM8" s="395"/>
      <c r="KN8" s="395"/>
      <c r="KO8" s="395"/>
      <c r="KP8" s="395"/>
      <c r="KQ8" s="395"/>
      <c r="KR8" s="395"/>
      <c r="KS8" s="395"/>
      <c r="KT8" s="395"/>
      <c r="KU8" s="395"/>
      <c r="KV8" s="395"/>
      <c r="KW8" s="395"/>
      <c r="KX8" s="395"/>
      <c r="KY8" s="395"/>
      <c r="KZ8" s="395"/>
      <c r="LA8" s="395"/>
      <c r="LB8" s="395"/>
      <c r="LC8" s="395"/>
      <c r="LD8" s="395"/>
      <c r="LE8" s="395"/>
      <c r="LF8" s="395"/>
      <c r="LG8" s="395"/>
      <c r="LH8" s="395"/>
      <c r="LI8" s="395"/>
      <c r="LJ8" s="395"/>
      <c r="LK8" s="395"/>
      <c r="LL8" s="395"/>
      <c r="LM8" s="395"/>
      <c r="LN8" s="395"/>
      <c r="LO8" s="395"/>
      <c r="LP8" s="395"/>
      <c r="LQ8" s="395"/>
      <c r="LR8" s="395"/>
      <c r="LS8" s="395"/>
      <c r="LT8" s="395"/>
      <c r="LU8" s="395"/>
      <c r="LV8" s="395"/>
      <c r="LW8" s="395"/>
      <c r="LX8" s="395"/>
      <c r="LY8" s="395"/>
      <c r="LZ8" s="395"/>
      <c r="MA8" s="395"/>
      <c r="MB8" s="395"/>
      <c r="MC8" s="395"/>
      <c r="MD8" s="395"/>
      <c r="ME8" s="395"/>
      <c r="MF8" s="395"/>
      <c r="MG8" s="395"/>
      <c r="MH8" s="395"/>
      <c r="MI8" s="395"/>
      <c r="MJ8" s="395"/>
      <c r="MK8" s="395"/>
      <c r="ML8" s="395"/>
      <c r="MM8" s="395"/>
      <c r="MN8" s="395"/>
      <c r="MO8" s="395"/>
      <c r="MP8" s="395"/>
      <c r="MQ8" s="395"/>
      <c r="MR8" s="395"/>
      <c r="MS8" s="395"/>
      <c r="MT8" s="395"/>
      <c r="MU8" s="395"/>
      <c r="MV8" s="395"/>
      <c r="MW8" s="395"/>
      <c r="MX8" s="395"/>
      <c r="MY8" s="395"/>
      <c r="MZ8" s="395"/>
      <c r="NA8" s="395"/>
      <c r="NB8" s="395"/>
      <c r="NC8" s="395"/>
      <c r="ND8" s="395"/>
      <c r="NE8" s="395"/>
      <c r="NF8" s="395"/>
      <c r="NG8" s="395"/>
      <c r="NH8" s="395"/>
      <c r="NI8" s="395"/>
      <c r="NJ8" s="395"/>
      <c r="NK8" s="395"/>
      <c r="NL8" s="395"/>
      <c r="NM8" s="395"/>
      <c r="NN8" s="395"/>
      <c r="NO8" s="395"/>
      <c r="NP8" s="395"/>
      <c r="NQ8" s="395"/>
      <c r="NR8" s="395"/>
      <c r="NS8" s="395"/>
      <c r="NT8" s="395"/>
      <c r="NU8" s="395"/>
      <c r="NV8" s="395"/>
      <c r="NW8" s="395"/>
      <c r="NX8" s="395"/>
      <c r="NY8" s="395"/>
      <c r="NZ8" s="395"/>
      <c r="OA8" s="395"/>
      <c r="OB8" s="395"/>
      <c r="OC8" s="395"/>
      <c r="OD8" s="395"/>
      <c r="OE8" s="395"/>
      <c r="OF8" s="395"/>
      <c r="OG8" s="395"/>
      <c r="OH8" s="395"/>
      <c r="OI8" s="395"/>
      <c r="OJ8" s="395"/>
      <c r="OK8" s="395"/>
      <c r="OL8" s="395"/>
      <c r="OM8" s="395"/>
      <c r="ON8" s="395"/>
      <c r="OO8" s="395"/>
      <c r="OP8" s="395"/>
      <c r="OQ8" s="395"/>
      <c r="OR8" s="395"/>
      <c r="OS8" s="395"/>
      <c r="OT8" s="395"/>
      <c r="OU8" s="395"/>
      <c r="OV8" s="395"/>
      <c r="OW8" s="395"/>
      <c r="OX8" s="395"/>
      <c r="OY8" s="395"/>
      <c r="OZ8" s="395"/>
      <c r="PA8" s="395"/>
      <c r="PB8" s="395"/>
      <c r="PC8" s="395"/>
      <c r="PD8" s="395"/>
      <c r="PE8" s="395"/>
      <c r="PF8" s="395"/>
      <c r="PG8" s="395"/>
      <c r="PH8" s="395"/>
      <c r="PI8" s="395"/>
      <c r="PJ8" s="395"/>
      <c r="PK8" s="395"/>
      <c r="PL8" s="395"/>
      <c r="PM8" s="395"/>
      <c r="PN8" s="395"/>
      <c r="PO8" s="395"/>
      <c r="PP8" s="395"/>
      <c r="PQ8" s="395"/>
      <c r="PR8" s="395"/>
      <c r="PS8" s="395"/>
      <c r="PT8" s="395"/>
      <c r="PU8" s="395"/>
      <c r="PV8" s="395"/>
      <c r="PW8" s="395"/>
      <c r="PX8" s="395"/>
      <c r="PY8" s="395"/>
      <c r="PZ8" s="395"/>
      <c r="QA8" s="395"/>
      <c r="QB8" s="395"/>
      <c r="QC8" s="395"/>
      <c r="QD8" s="395"/>
      <c r="QE8" s="395"/>
      <c r="QF8" s="395"/>
      <c r="QG8" s="395"/>
      <c r="QH8" s="395"/>
      <c r="QI8" s="395"/>
      <c r="QJ8" s="395"/>
      <c r="QK8" s="395"/>
      <c r="QL8" s="395"/>
      <c r="QM8" s="395"/>
      <c r="QN8" s="395"/>
      <c r="QO8" s="395"/>
      <c r="QP8" s="395"/>
      <c r="QQ8" s="395"/>
      <c r="QR8" s="395"/>
      <c r="QS8" s="395"/>
      <c r="QT8" s="395"/>
      <c r="QU8" s="395"/>
      <c r="QV8" s="395"/>
      <c r="QW8" s="395"/>
      <c r="QX8" s="395"/>
      <c r="QY8" s="395"/>
      <c r="QZ8" s="395"/>
      <c r="RA8" s="395"/>
      <c r="RB8" s="395"/>
      <c r="RC8" s="395"/>
      <c r="RD8" s="395"/>
      <c r="RE8" s="395"/>
      <c r="RF8" s="395"/>
      <c r="RG8" s="395"/>
      <c r="RH8" s="395"/>
      <c r="RI8" s="395"/>
      <c r="RJ8" s="395"/>
      <c r="RK8" s="395"/>
      <c r="RL8" s="395"/>
      <c r="RM8" s="395"/>
      <c r="RN8" s="395"/>
      <c r="RO8" s="395"/>
      <c r="RP8" s="395"/>
      <c r="RQ8" s="395"/>
      <c r="RR8" s="395"/>
      <c r="RS8" s="395"/>
      <c r="RT8" s="395"/>
      <c r="RU8" s="395"/>
      <c r="RV8" s="395"/>
      <c r="RW8" s="395"/>
      <c r="RX8" s="395"/>
      <c r="RY8" s="395"/>
      <c r="RZ8" s="395"/>
      <c r="SA8" s="395"/>
      <c r="SB8" s="395"/>
      <c r="SC8" s="395"/>
      <c r="SD8" s="395"/>
      <c r="SE8" s="395"/>
      <c r="SF8" s="395"/>
      <c r="SG8" s="395"/>
      <c r="SH8" s="395"/>
      <c r="SI8" s="395"/>
      <c r="SJ8" s="395"/>
      <c r="SK8" s="395"/>
      <c r="SL8" s="395"/>
      <c r="SM8" s="395"/>
      <c r="SN8" s="395"/>
      <c r="SO8" s="395"/>
      <c r="SP8" s="395"/>
      <c r="SQ8" s="395"/>
      <c r="SR8" s="395"/>
      <c r="SS8" s="395"/>
      <c r="ST8" s="395"/>
      <c r="SU8" s="395"/>
      <c r="SV8" s="395"/>
      <c r="SW8" s="395"/>
      <c r="SX8" s="395"/>
      <c r="SY8" s="395"/>
      <c r="SZ8" s="395"/>
      <c r="TA8" s="395"/>
      <c r="TB8" s="395"/>
      <c r="TC8" s="395"/>
      <c r="TD8" s="395"/>
      <c r="TE8" s="395"/>
      <c r="TF8" s="395"/>
      <c r="TG8" s="395"/>
      <c r="TH8" s="395"/>
      <c r="TI8" s="395"/>
      <c r="TJ8" s="395"/>
      <c r="TK8" s="395"/>
      <c r="TL8" s="395"/>
      <c r="TM8" s="395"/>
      <c r="TN8" s="395"/>
      <c r="TO8" s="395"/>
      <c r="TP8" s="395"/>
      <c r="TQ8" s="395"/>
      <c r="TR8" s="395"/>
      <c r="TS8" s="395"/>
      <c r="TT8" s="395"/>
      <c r="TU8" s="395"/>
      <c r="TV8" s="395"/>
      <c r="TW8" s="395"/>
      <c r="TX8" s="395"/>
      <c r="TY8" s="395"/>
      <c r="TZ8" s="395"/>
      <c r="UA8" s="395"/>
      <c r="UB8" s="395"/>
      <c r="UC8" s="395"/>
      <c r="UD8" s="395"/>
      <c r="UE8" s="395"/>
      <c r="UF8" s="395"/>
      <c r="UG8" s="395"/>
      <c r="UH8" s="395"/>
      <c r="UI8" s="395"/>
      <c r="UJ8" s="395"/>
      <c r="UK8" s="395"/>
      <c r="UL8" s="395"/>
      <c r="UM8" s="395"/>
      <c r="UN8" s="395"/>
      <c r="UO8" s="395"/>
      <c r="UP8" s="395"/>
      <c r="UQ8" s="395"/>
      <c r="UR8" s="395"/>
      <c r="US8" s="395"/>
      <c r="UT8" s="395"/>
      <c r="UU8" s="395"/>
      <c r="UV8" s="395"/>
      <c r="UW8" s="395"/>
      <c r="UX8" s="395"/>
      <c r="UY8" s="395"/>
      <c r="UZ8" s="395"/>
      <c r="VA8" s="395"/>
      <c r="VB8" s="395"/>
      <c r="VC8" s="395"/>
      <c r="VD8" s="395"/>
      <c r="VE8" s="395"/>
      <c r="VF8" s="395"/>
      <c r="VG8" s="395"/>
      <c r="VH8" s="395"/>
      <c r="VI8" s="395"/>
      <c r="VJ8" s="395"/>
      <c r="VK8" s="395"/>
      <c r="VL8" s="395"/>
      <c r="VM8" s="395"/>
      <c r="VN8" s="395"/>
      <c r="VO8" s="395"/>
      <c r="VP8" s="395"/>
      <c r="VQ8" s="395"/>
      <c r="VR8" s="395"/>
      <c r="VS8" s="395"/>
      <c r="VT8" s="395"/>
      <c r="VU8" s="395"/>
      <c r="VV8" s="395"/>
      <c r="VW8" s="395"/>
      <c r="VX8" s="395"/>
      <c r="VY8" s="395"/>
      <c r="VZ8" s="395"/>
      <c r="WA8" s="395"/>
      <c r="WB8" s="395"/>
      <c r="WC8" s="395"/>
      <c r="WD8" s="395"/>
      <c r="WE8" s="395"/>
      <c r="WF8" s="395"/>
      <c r="WG8" s="395"/>
      <c r="WH8" s="395"/>
      <c r="WI8" s="395"/>
      <c r="WJ8" s="395"/>
      <c r="WK8" s="395"/>
      <c r="WL8" s="395"/>
      <c r="WM8" s="395"/>
      <c r="WN8" s="395"/>
      <c r="WO8" s="395"/>
      <c r="WP8" s="395"/>
      <c r="WQ8" s="395"/>
      <c r="WR8" s="395"/>
      <c r="WS8" s="395"/>
      <c r="WT8" s="395"/>
      <c r="WU8" s="395"/>
      <c r="WV8" s="395"/>
      <c r="WW8" s="395"/>
      <c r="WX8" s="395"/>
      <c r="WY8" s="395"/>
      <c r="WZ8" s="395"/>
      <c r="XA8" s="395"/>
      <c r="XB8" s="395"/>
      <c r="XC8" s="395"/>
      <c r="XD8" s="395"/>
      <c r="XE8" s="395"/>
      <c r="XF8" s="395"/>
      <c r="XG8" s="395"/>
      <c r="XH8" s="395"/>
      <c r="XI8" s="395"/>
      <c r="XJ8" s="395"/>
      <c r="XK8" s="395"/>
      <c r="XL8" s="395"/>
      <c r="XM8" s="395"/>
      <c r="XN8" s="395"/>
      <c r="XO8" s="395"/>
      <c r="XP8" s="395"/>
      <c r="XQ8" s="395"/>
      <c r="XR8" s="395"/>
      <c r="XS8" s="395"/>
      <c r="XT8" s="395"/>
      <c r="XU8" s="395"/>
      <c r="XV8" s="395"/>
      <c r="XW8" s="395"/>
      <c r="XX8" s="395"/>
      <c r="XY8" s="395"/>
      <c r="XZ8" s="395"/>
      <c r="YA8" s="395"/>
      <c r="YB8" s="395"/>
      <c r="YC8" s="395"/>
      <c r="YD8" s="395"/>
      <c r="YE8" s="395"/>
      <c r="YF8" s="395"/>
      <c r="YG8" s="395"/>
      <c r="YH8" s="395"/>
      <c r="YI8" s="395"/>
      <c r="YJ8" s="395"/>
      <c r="YK8" s="395"/>
      <c r="YL8" s="395"/>
      <c r="YM8" s="395"/>
      <c r="YN8" s="395"/>
      <c r="YO8" s="395"/>
      <c r="YP8" s="395"/>
      <c r="YQ8" s="395"/>
      <c r="YR8" s="395"/>
      <c r="YS8" s="395"/>
      <c r="YT8" s="395"/>
      <c r="YU8" s="395"/>
      <c r="YV8" s="395"/>
      <c r="YW8" s="395"/>
      <c r="YX8" s="395"/>
      <c r="YY8" s="395"/>
      <c r="YZ8" s="395"/>
      <c r="ZA8" s="395"/>
      <c r="ZB8" s="395"/>
      <c r="ZC8" s="395"/>
      <c r="ZD8" s="395"/>
      <c r="ZE8" s="395"/>
      <c r="ZF8" s="395"/>
      <c r="ZG8" s="395"/>
      <c r="ZH8" s="395"/>
      <c r="ZI8" s="395"/>
      <c r="ZJ8" s="395"/>
      <c r="ZK8" s="395"/>
      <c r="ZL8" s="395"/>
      <c r="ZM8" s="395"/>
      <c r="ZN8" s="395"/>
      <c r="ZO8" s="395"/>
    </row>
    <row r="9" spans="1:691" s="289" customFormat="1" ht="15" customHeight="1" x14ac:dyDescent="0.25">
      <c r="A9" s="670" t="s">
        <v>356</v>
      </c>
      <c r="B9" s="581">
        <v>1</v>
      </c>
      <c r="C9" s="581">
        <v>43</v>
      </c>
      <c r="D9" s="582">
        <v>0</v>
      </c>
      <c r="E9" s="153">
        <v>0</v>
      </c>
      <c r="F9" s="153"/>
      <c r="G9" s="582">
        <v>8143</v>
      </c>
      <c r="H9" s="671" t="s">
        <v>357</v>
      </c>
      <c r="K9" s="409"/>
    </row>
    <row r="10" spans="1:691" s="290" customFormat="1" ht="15" customHeight="1" x14ac:dyDescent="0.25">
      <c r="A10" s="691" t="s">
        <v>30</v>
      </c>
      <c r="B10" s="695">
        <v>0</v>
      </c>
      <c r="C10" s="695">
        <v>0</v>
      </c>
      <c r="D10" s="696">
        <v>55</v>
      </c>
      <c r="E10" s="661">
        <v>328</v>
      </c>
      <c r="F10" s="661"/>
      <c r="G10" s="696">
        <v>11665</v>
      </c>
      <c r="H10" s="655" t="s">
        <v>31</v>
      </c>
      <c r="K10" s="40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  <c r="IX10" s="289"/>
      <c r="IY10" s="289"/>
      <c r="IZ10" s="289"/>
      <c r="JA10" s="289"/>
      <c r="JB10" s="289"/>
      <c r="JC10" s="289"/>
      <c r="JD10" s="289"/>
      <c r="JE10" s="289"/>
      <c r="JF10" s="289"/>
      <c r="JG10" s="289"/>
      <c r="JH10" s="289"/>
      <c r="JI10" s="289"/>
      <c r="JJ10" s="289"/>
      <c r="JK10" s="289"/>
      <c r="JL10" s="289"/>
      <c r="JM10" s="289"/>
      <c r="JN10" s="289"/>
      <c r="JO10" s="289"/>
      <c r="JP10" s="289"/>
      <c r="JQ10" s="289"/>
      <c r="JR10" s="289"/>
      <c r="JS10" s="289"/>
      <c r="JT10" s="289"/>
      <c r="JU10" s="289"/>
      <c r="JV10" s="289"/>
      <c r="JW10" s="289"/>
      <c r="JX10" s="289"/>
      <c r="JY10" s="289"/>
      <c r="JZ10" s="289"/>
      <c r="KA10" s="289"/>
      <c r="KB10" s="289"/>
      <c r="KC10" s="289"/>
      <c r="KD10" s="289"/>
      <c r="KE10" s="289"/>
      <c r="KF10" s="289"/>
      <c r="KG10" s="289"/>
      <c r="KH10" s="289"/>
      <c r="KI10" s="289"/>
      <c r="KJ10" s="289"/>
      <c r="KK10" s="289"/>
      <c r="KL10" s="289"/>
      <c r="KM10" s="289"/>
      <c r="KN10" s="289"/>
      <c r="KO10" s="289"/>
      <c r="KP10" s="289"/>
      <c r="KQ10" s="289"/>
      <c r="KR10" s="289"/>
      <c r="KS10" s="289"/>
      <c r="KT10" s="289"/>
      <c r="KU10" s="289"/>
      <c r="KV10" s="289"/>
      <c r="KW10" s="289"/>
      <c r="KX10" s="289"/>
      <c r="KY10" s="289"/>
      <c r="KZ10" s="289"/>
      <c r="LA10" s="289"/>
      <c r="LB10" s="289"/>
      <c r="LC10" s="289"/>
      <c r="LD10" s="289"/>
      <c r="LE10" s="289"/>
      <c r="LF10" s="289"/>
      <c r="LG10" s="289"/>
      <c r="LH10" s="289"/>
      <c r="LI10" s="289"/>
      <c r="LJ10" s="289"/>
      <c r="LK10" s="289"/>
      <c r="LL10" s="289"/>
      <c r="LM10" s="289"/>
      <c r="LN10" s="289"/>
      <c r="LO10" s="289"/>
      <c r="LP10" s="289"/>
      <c r="LQ10" s="289"/>
      <c r="LR10" s="289"/>
      <c r="LS10" s="289"/>
      <c r="LT10" s="289"/>
      <c r="LU10" s="289"/>
      <c r="LV10" s="289"/>
      <c r="LW10" s="289"/>
      <c r="LX10" s="289"/>
      <c r="LY10" s="289"/>
      <c r="LZ10" s="289"/>
      <c r="MA10" s="289"/>
      <c r="MB10" s="289"/>
      <c r="MC10" s="289"/>
      <c r="MD10" s="289"/>
      <c r="ME10" s="289"/>
      <c r="MF10" s="289"/>
      <c r="MG10" s="289"/>
      <c r="MH10" s="289"/>
      <c r="MI10" s="289"/>
      <c r="MJ10" s="289"/>
      <c r="MK10" s="289"/>
      <c r="ML10" s="289"/>
      <c r="MM10" s="289"/>
      <c r="MN10" s="289"/>
      <c r="MO10" s="289"/>
      <c r="MP10" s="289"/>
      <c r="MQ10" s="289"/>
      <c r="MR10" s="289"/>
      <c r="MS10" s="289"/>
      <c r="MT10" s="289"/>
      <c r="MU10" s="289"/>
      <c r="MV10" s="289"/>
      <c r="MW10" s="289"/>
      <c r="MX10" s="289"/>
      <c r="MY10" s="289"/>
      <c r="MZ10" s="289"/>
      <c r="NA10" s="289"/>
      <c r="NB10" s="289"/>
      <c r="NC10" s="289"/>
      <c r="ND10" s="289"/>
      <c r="NE10" s="289"/>
      <c r="NF10" s="289"/>
      <c r="NG10" s="289"/>
      <c r="NH10" s="289"/>
      <c r="NI10" s="289"/>
      <c r="NJ10" s="289"/>
      <c r="NK10" s="289"/>
      <c r="NL10" s="289"/>
      <c r="NM10" s="289"/>
      <c r="NN10" s="289"/>
      <c r="NO10" s="289"/>
      <c r="NP10" s="289"/>
      <c r="NQ10" s="289"/>
      <c r="NR10" s="289"/>
      <c r="NS10" s="289"/>
      <c r="NT10" s="289"/>
      <c r="NU10" s="289"/>
      <c r="NV10" s="289"/>
      <c r="NW10" s="289"/>
      <c r="NX10" s="289"/>
      <c r="NY10" s="289"/>
      <c r="NZ10" s="289"/>
      <c r="OA10" s="289"/>
      <c r="OB10" s="289"/>
      <c r="OC10" s="289"/>
      <c r="OD10" s="289"/>
      <c r="OE10" s="289"/>
      <c r="OF10" s="289"/>
      <c r="OG10" s="289"/>
      <c r="OH10" s="289"/>
      <c r="OI10" s="289"/>
      <c r="OJ10" s="289"/>
      <c r="OK10" s="289"/>
      <c r="OL10" s="289"/>
      <c r="OM10" s="289"/>
      <c r="ON10" s="289"/>
      <c r="OO10" s="289"/>
      <c r="OP10" s="289"/>
      <c r="OQ10" s="289"/>
      <c r="OR10" s="289"/>
      <c r="OS10" s="289"/>
      <c r="OT10" s="289"/>
      <c r="OU10" s="289"/>
      <c r="OV10" s="289"/>
      <c r="OW10" s="289"/>
      <c r="OX10" s="289"/>
      <c r="OY10" s="289"/>
      <c r="OZ10" s="289"/>
      <c r="PA10" s="289"/>
      <c r="PB10" s="289"/>
      <c r="PC10" s="289"/>
      <c r="PD10" s="289"/>
      <c r="PE10" s="289"/>
      <c r="PF10" s="289"/>
      <c r="PG10" s="289"/>
      <c r="PH10" s="289"/>
      <c r="PI10" s="289"/>
      <c r="PJ10" s="289"/>
      <c r="PK10" s="289"/>
      <c r="PL10" s="289"/>
      <c r="PM10" s="289"/>
      <c r="PN10" s="289"/>
      <c r="PO10" s="289"/>
      <c r="PP10" s="289"/>
      <c r="PQ10" s="289"/>
      <c r="PR10" s="289"/>
      <c r="PS10" s="289"/>
      <c r="PT10" s="289"/>
      <c r="PU10" s="289"/>
      <c r="PV10" s="289"/>
      <c r="PW10" s="289"/>
      <c r="PX10" s="289"/>
      <c r="PY10" s="289"/>
      <c r="PZ10" s="289"/>
      <c r="QA10" s="289"/>
      <c r="QB10" s="289"/>
      <c r="QC10" s="289"/>
      <c r="QD10" s="289"/>
      <c r="QE10" s="289"/>
      <c r="QF10" s="289"/>
      <c r="QG10" s="289"/>
      <c r="QH10" s="289"/>
      <c r="QI10" s="289"/>
      <c r="QJ10" s="289"/>
      <c r="QK10" s="289"/>
      <c r="QL10" s="289"/>
      <c r="QM10" s="289"/>
      <c r="QN10" s="289"/>
      <c r="QO10" s="289"/>
      <c r="QP10" s="289"/>
      <c r="QQ10" s="289"/>
      <c r="QR10" s="289"/>
      <c r="QS10" s="289"/>
      <c r="QT10" s="289"/>
      <c r="QU10" s="289"/>
      <c r="QV10" s="289"/>
      <c r="QW10" s="289"/>
      <c r="QX10" s="289"/>
      <c r="QY10" s="289"/>
      <c r="QZ10" s="289"/>
      <c r="RA10" s="289"/>
      <c r="RB10" s="289"/>
      <c r="RC10" s="289"/>
      <c r="RD10" s="289"/>
      <c r="RE10" s="289"/>
      <c r="RF10" s="289"/>
      <c r="RG10" s="289"/>
      <c r="RH10" s="289"/>
      <c r="RI10" s="289"/>
      <c r="RJ10" s="289"/>
      <c r="RK10" s="289"/>
      <c r="RL10" s="289"/>
      <c r="RM10" s="289"/>
      <c r="RN10" s="289"/>
      <c r="RO10" s="289"/>
      <c r="RP10" s="289"/>
      <c r="RQ10" s="289"/>
      <c r="RR10" s="289"/>
      <c r="RS10" s="289"/>
      <c r="RT10" s="289"/>
      <c r="RU10" s="289"/>
      <c r="RV10" s="289"/>
      <c r="RW10" s="289"/>
      <c r="RX10" s="289"/>
      <c r="RY10" s="289"/>
      <c r="RZ10" s="289"/>
      <c r="SA10" s="289"/>
      <c r="SB10" s="289"/>
      <c r="SC10" s="289"/>
      <c r="SD10" s="289"/>
      <c r="SE10" s="289"/>
      <c r="SF10" s="289"/>
      <c r="SG10" s="289"/>
      <c r="SH10" s="289"/>
      <c r="SI10" s="289"/>
      <c r="SJ10" s="289"/>
      <c r="SK10" s="289"/>
      <c r="SL10" s="289"/>
      <c r="SM10" s="289"/>
      <c r="SN10" s="289"/>
      <c r="SO10" s="289"/>
      <c r="SP10" s="289"/>
      <c r="SQ10" s="289"/>
      <c r="SR10" s="289"/>
      <c r="SS10" s="289"/>
      <c r="ST10" s="289"/>
      <c r="SU10" s="289"/>
      <c r="SV10" s="289"/>
      <c r="SW10" s="289"/>
      <c r="SX10" s="289"/>
      <c r="SY10" s="289"/>
      <c r="SZ10" s="289"/>
      <c r="TA10" s="289"/>
      <c r="TB10" s="289"/>
      <c r="TC10" s="289"/>
      <c r="TD10" s="289"/>
      <c r="TE10" s="289"/>
      <c r="TF10" s="289"/>
      <c r="TG10" s="289"/>
      <c r="TH10" s="289"/>
      <c r="TI10" s="289"/>
      <c r="TJ10" s="289"/>
      <c r="TK10" s="289"/>
      <c r="TL10" s="289"/>
      <c r="TM10" s="289"/>
      <c r="TN10" s="289"/>
      <c r="TO10" s="289"/>
      <c r="TP10" s="289"/>
      <c r="TQ10" s="289"/>
      <c r="TR10" s="289"/>
      <c r="TS10" s="289"/>
      <c r="TT10" s="289"/>
      <c r="TU10" s="289"/>
      <c r="TV10" s="289"/>
      <c r="TW10" s="289"/>
      <c r="TX10" s="289"/>
      <c r="TY10" s="289"/>
      <c r="TZ10" s="289"/>
      <c r="UA10" s="289"/>
      <c r="UB10" s="289"/>
      <c r="UC10" s="289"/>
      <c r="UD10" s="289"/>
      <c r="UE10" s="289"/>
      <c r="UF10" s="289"/>
      <c r="UG10" s="289"/>
      <c r="UH10" s="289"/>
      <c r="UI10" s="289"/>
      <c r="UJ10" s="289"/>
      <c r="UK10" s="289"/>
      <c r="UL10" s="289"/>
      <c r="UM10" s="289"/>
      <c r="UN10" s="289"/>
      <c r="UO10" s="289"/>
      <c r="UP10" s="289"/>
      <c r="UQ10" s="289"/>
      <c r="UR10" s="289"/>
      <c r="US10" s="289"/>
      <c r="UT10" s="289"/>
      <c r="UU10" s="289"/>
      <c r="UV10" s="289"/>
      <c r="UW10" s="289"/>
      <c r="UX10" s="289"/>
      <c r="UY10" s="289"/>
      <c r="UZ10" s="289"/>
      <c r="VA10" s="289"/>
      <c r="VB10" s="289"/>
      <c r="VC10" s="289"/>
      <c r="VD10" s="289"/>
      <c r="VE10" s="289"/>
      <c r="VF10" s="289"/>
      <c r="VG10" s="289"/>
      <c r="VH10" s="289"/>
      <c r="VI10" s="289"/>
      <c r="VJ10" s="289"/>
      <c r="VK10" s="289"/>
      <c r="VL10" s="289"/>
      <c r="VM10" s="289"/>
      <c r="VN10" s="289"/>
      <c r="VO10" s="289"/>
      <c r="VP10" s="289"/>
      <c r="VQ10" s="289"/>
      <c r="VR10" s="289"/>
      <c r="VS10" s="289"/>
      <c r="VT10" s="289"/>
      <c r="VU10" s="289"/>
      <c r="VV10" s="289"/>
      <c r="VW10" s="289"/>
      <c r="VX10" s="289"/>
      <c r="VY10" s="289"/>
      <c r="VZ10" s="289"/>
      <c r="WA10" s="289"/>
      <c r="WB10" s="289"/>
      <c r="WC10" s="289"/>
      <c r="WD10" s="289"/>
      <c r="WE10" s="289"/>
      <c r="WF10" s="289"/>
      <c r="WG10" s="289"/>
      <c r="WH10" s="289"/>
      <c r="WI10" s="289"/>
      <c r="WJ10" s="289"/>
      <c r="WK10" s="289"/>
      <c r="WL10" s="289"/>
      <c r="WM10" s="289"/>
      <c r="WN10" s="289"/>
      <c r="WO10" s="289"/>
      <c r="WP10" s="289"/>
      <c r="WQ10" s="289"/>
      <c r="WR10" s="289"/>
      <c r="WS10" s="289"/>
      <c r="WT10" s="289"/>
      <c r="WU10" s="289"/>
      <c r="WV10" s="289"/>
      <c r="WW10" s="289"/>
      <c r="WX10" s="289"/>
      <c r="WY10" s="289"/>
      <c r="WZ10" s="289"/>
      <c r="XA10" s="289"/>
      <c r="XB10" s="289"/>
      <c r="XC10" s="289"/>
      <c r="XD10" s="289"/>
      <c r="XE10" s="289"/>
      <c r="XF10" s="289"/>
      <c r="XG10" s="289"/>
      <c r="XH10" s="289"/>
      <c r="XI10" s="289"/>
      <c r="XJ10" s="289"/>
      <c r="XK10" s="289"/>
      <c r="XL10" s="289"/>
      <c r="XM10" s="289"/>
      <c r="XN10" s="289"/>
      <c r="XO10" s="289"/>
      <c r="XP10" s="289"/>
      <c r="XQ10" s="289"/>
      <c r="XR10" s="289"/>
      <c r="XS10" s="289"/>
      <c r="XT10" s="289"/>
      <c r="XU10" s="289"/>
      <c r="XV10" s="289"/>
      <c r="XW10" s="289"/>
      <c r="XX10" s="289"/>
      <c r="XY10" s="289"/>
      <c r="XZ10" s="289"/>
      <c r="YA10" s="289"/>
      <c r="YB10" s="289"/>
      <c r="YC10" s="289"/>
      <c r="YD10" s="289"/>
      <c r="YE10" s="289"/>
      <c r="YF10" s="289"/>
      <c r="YG10" s="289"/>
      <c r="YH10" s="289"/>
      <c r="YI10" s="289"/>
      <c r="YJ10" s="289"/>
      <c r="YK10" s="289"/>
      <c r="YL10" s="289"/>
      <c r="YM10" s="289"/>
      <c r="YN10" s="289"/>
      <c r="YO10" s="289"/>
      <c r="YP10" s="289"/>
      <c r="YQ10" s="289"/>
      <c r="YR10" s="289"/>
      <c r="YS10" s="289"/>
      <c r="YT10" s="289"/>
      <c r="YU10" s="289"/>
      <c r="YV10" s="289"/>
      <c r="YW10" s="289"/>
      <c r="YX10" s="289"/>
      <c r="YY10" s="289"/>
      <c r="YZ10" s="289"/>
      <c r="ZA10" s="289"/>
      <c r="ZB10" s="289"/>
      <c r="ZC10" s="289"/>
      <c r="ZD10" s="289"/>
      <c r="ZE10" s="289"/>
      <c r="ZF10" s="289"/>
      <c r="ZG10" s="289"/>
      <c r="ZH10" s="289"/>
      <c r="ZI10" s="289"/>
      <c r="ZJ10" s="289"/>
      <c r="ZK10" s="289"/>
      <c r="ZL10" s="289"/>
      <c r="ZM10" s="289"/>
      <c r="ZN10" s="289"/>
      <c r="ZO10" s="289"/>
    </row>
    <row r="11" spans="1:691" s="289" customFormat="1" ht="15" customHeight="1" x14ac:dyDescent="0.25">
      <c r="A11" s="580" t="s">
        <v>3</v>
      </c>
      <c r="B11" s="581">
        <v>0</v>
      </c>
      <c r="C11" s="581">
        <v>0</v>
      </c>
      <c r="D11" s="582">
        <v>94</v>
      </c>
      <c r="E11" s="153">
        <v>479</v>
      </c>
      <c r="F11" s="153"/>
      <c r="G11" s="582">
        <v>35155</v>
      </c>
      <c r="H11" s="583" t="s">
        <v>15</v>
      </c>
      <c r="K11" s="409"/>
    </row>
    <row r="12" spans="1:691" s="290" customFormat="1" ht="15" customHeight="1" x14ac:dyDescent="0.25">
      <c r="A12" s="691" t="s">
        <v>342</v>
      </c>
      <c r="B12" s="695">
        <v>0</v>
      </c>
      <c r="C12" s="695">
        <v>0</v>
      </c>
      <c r="D12" s="696">
        <v>47</v>
      </c>
      <c r="E12" s="661">
        <v>235</v>
      </c>
      <c r="F12" s="661"/>
      <c r="G12" s="696">
        <v>10616</v>
      </c>
      <c r="H12" s="655" t="s">
        <v>337</v>
      </c>
      <c r="K12" s="40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  <c r="IX12" s="289"/>
      <c r="IY12" s="289"/>
      <c r="IZ12" s="289"/>
      <c r="JA12" s="289"/>
      <c r="JB12" s="289"/>
      <c r="JC12" s="289"/>
      <c r="JD12" s="289"/>
      <c r="JE12" s="289"/>
      <c r="JF12" s="289"/>
      <c r="JG12" s="289"/>
      <c r="JH12" s="289"/>
      <c r="JI12" s="289"/>
      <c r="JJ12" s="289"/>
      <c r="JK12" s="289"/>
      <c r="JL12" s="289"/>
      <c r="JM12" s="289"/>
      <c r="JN12" s="289"/>
      <c r="JO12" s="289"/>
      <c r="JP12" s="289"/>
      <c r="JQ12" s="289"/>
      <c r="JR12" s="289"/>
      <c r="JS12" s="289"/>
      <c r="JT12" s="289"/>
      <c r="JU12" s="289"/>
      <c r="JV12" s="289"/>
      <c r="JW12" s="289"/>
      <c r="JX12" s="289"/>
      <c r="JY12" s="289"/>
      <c r="JZ12" s="289"/>
      <c r="KA12" s="289"/>
      <c r="KB12" s="289"/>
      <c r="KC12" s="289"/>
      <c r="KD12" s="289"/>
      <c r="KE12" s="289"/>
      <c r="KF12" s="289"/>
      <c r="KG12" s="289"/>
      <c r="KH12" s="289"/>
      <c r="KI12" s="289"/>
      <c r="KJ12" s="289"/>
      <c r="KK12" s="289"/>
      <c r="KL12" s="289"/>
      <c r="KM12" s="289"/>
      <c r="KN12" s="289"/>
      <c r="KO12" s="289"/>
      <c r="KP12" s="289"/>
      <c r="KQ12" s="289"/>
      <c r="KR12" s="289"/>
      <c r="KS12" s="289"/>
      <c r="KT12" s="289"/>
      <c r="KU12" s="289"/>
      <c r="KV12" s="289"/>
      <c r="KW12" s="289"/>
      <c r="KX12" s="289"/>
      <c r="KY12" s="289"/>
      <c r="KZ12" s="289"/>
      <c r="LA12" s="289"/>
      <c r="LB12" s="289"/>
      <c r="LC12" s="289"/>
      <c r="LD12" s="289"/>
      <c r="LE12" s="289"/>
      <c r="LF12" s="289"/>
      <c r="LG12" s="289"/>
      <c r="LH12" s="289"/>
      <c r="LI12" s="289"/>
      <c r="LJ12" s="289"/>
      <c r="LK12" s="289"/>
      <c r="LL12" s="289"/>
      <c r="LM12" s="289"/>
      <c r="LN12" s="289"/>
      <c r="LO12" s="289"/>
      <c r="LP12" s="289"/>
      <c r="LQ12" s="289"/>
      <c r="LR12" s="289"/>
      <c r="LS12" s="289"/>
      <c r="LT12" s="289"/>
      <c r="LU12" s="289"/>
      <c r="LV12" s="289"/>
      <c r="LW12" s="289"/>
      <c r="LX12" s="289"/>
      <c r="LY12" s="289"/>
      <c r="LZ12" s="289"/>
      <c r="MA12" s="289"/>
      <c r="MB12" s="289"/>
      <c r="MC12" s="289"/>
      <c r="MD12" s="289"/>
      <c r="ME12" s="289"/>
      <c r="MF12" s="289"/>
      <c r="MG12" s="289"/>
      <c r="MH12" s="289"/>
      <c r="MI12" s="289"/>
      <c r="MJ12" s="289"/>
      <c r="MK12" s="289"/>
      <c r="ML12" s="289"/>
      <c r="MM12" s="289"/>
      <c r="MN12" s="289"/>
      <c r="MO12" s="289"/>
      <c r="MP12" s="289"/>
      <c r="MQ12" s="289"/>
      <c r="MR12" s="289"/>
      <c r="MS12" s="289"/>
      <c r="MT12" s="289"/>
      <c r="MU12" s="289"/>
      <c r="MV12" s="289"/>
      <c r="MW12" s="289"/>
      <c r="MX12" s="289"/>
      <c r="MY12" s="289"/>
      <c r="MZ12" s="289"/>
      <c r="NA12" s="289"/>
      <c r="NB12" s="289"/>
      <c r="NC12" s="289"/>
      <c r="ND12" s="289"/>
      <c r="NE12" s="289"/>
      <c r="NF12" s="289"/>
      <c r="NG12" s="289"/>
      <c r="NH12" s="289"/>
      <c r="NI12" s="289"/>
      <c r="NJ12" s="289"/>
      <c r="NK12" s="289"/>
      <c r="NL12" s="289"/>
      <c r="NM12" s="289"/>
      <c r="NN12" s="289"/>
      <c r="NO12" s="289"/>
      <c r="NP12" s="289"/>
      <c r="NQ12" s="289"/>
      <c r="NR12" s="289"/>
      <c r="NS12" s="289"/>
      <c r="NT12" s="289"/>
      <c r="NU12" s="289"/>
      <c r="NV12" s="289"/>
      <c r="NW12" s="289"/>
      <c r="NX12" s="289"/>
      <c r="NY12" s="289"/>
      <c r="NZ12" s="289"/>
      <c r="OA12" s="289"/>
      <c r="OB12" s="289"/>
      <c r="OC12" s="289"/>
      <c r="OD12" s="289"/>
      <c r="OE12" s="289"/>
      <c r="OF12" s="289"/>
      <c r="OG12" s="289"/>
      <c r="OH12" s="289"/>
      <c r="OI12" s="289"/>
      <c r="OJ12" s="289"/>
      <c r="OK12" s="289"/>
      <c r="OL12" s="289"/>
      <c r="OM12" s="289"/>
      <c r="ON12" s="289"/>
      <c r="OO12" s="289"/>
      <c r="OP12" s="289"/>
      <c r="OQ12" s="289"/>
      <c r="OR12" s="289"/>
      <c r="OS12" s="289"/>
      <c r="OT12" s="289"/>
      <c r="OU12" s="289"/>
      <c r="OV12" s="289"/>
      <c r="OW12" s="289"/>
      <c r="OX12" s="289"/>
      <c r="OY12" s="289"/>
      <c r="OZ12" s="289"/>
      <c r="PA12" s="289"/>
      <c r="PB12" s="289"/>
      <c r="PC12" s="289"/>
      <c r="PD12" s="289"/>
      <c r="PE12" s="289"/>
      <c r="PF12" s="289"/>
      <c r="PG12" s="289"/>
      <c r="PH12" s="289"/>
      <c r="PI12" s="289"/>
      <c r="PJ12" s="289"/>
      <c r="PK12" s="289"/>
      <c r="PL12" s="289"/>
      <c r="PM12" s="289"/>
      <c r="PN12" s="289"/>
      <c r="PO12" s="289"/>
      <c r="PP12" s="289"/>
      <c r="PQ12" s="289"/>
      <c r="PR12" s="289"/>
      <c r="PS12" s="289"/>
      <c r="PT12" s="289"/>
      <c r="PU12" s="289"/>
      <c r="PV12" s="289"/>
      <c r="PW12" s="289"/>
      <c r="PX12" s="289"/>
      <c r="PY12" s="289"/>
      <c r="PZ12" s="289"/>
      <c r="QA12" s="289"/>
      <c r="QB12" s="289"/>
      <c r="QC12" s="289"/>
      <c r="QD12" s="289"/>
      <c r="QE12" s="289"/>
      <c r="QF12" s="289"/>
      <c r="QG12" s="289"/>
      <c r="QH12" s="289"/>
      <c r="QI12" s="289"/>
      <c r="QJ12" s="289"/>
      <c r="QK12" s="289"/>
      <c r="QL12" s="289"/>
      <c r="QM12" s="289"/>
      <c r="QN12" s="289"/>
      <c r="QO12" s="289"/>
      <c r="QP12" s="289"/>
      <c r="QQ12" s="289"/>
      <c r="QR12" s="289"/>
      <c r="QS12" s="289"/>
      <c r="QT12" s="289"/>
      <c r="QU12" s="289"/>
      <c r="QV12" s="289"/>
      <c r="QW12" s="289"/>
      <c r="QX12" s="289"/>
      <c r="QY12" s="289"/>
      <c r="QZ12" s="289"/>
      <c r="RA12" s="289"/>
      <c r="RB12" s="289"/>
      <c r="RC12" s="289"/>
      <c r="RD12" s="289"/>
      <c r="RE12" s="289"/>
      <c r="RF12" s="289"/>
      <c r="RG12" s="289"/>
      <c r="RH12" s="289"/>
      <c r="RI12" s="289"/>
      <c r="RJ12" s="289"/>
      <c r="RK12" s="289"/>
      <c r="RL12" s="289"/>
      <c r="RM12" s="289"/>
      <c r="RN12" s="289"/>
      <c r="RO12" s="289"/>
      <c r="RP12" s="289"/>
      <c r="RQ12" s="289"/>
      <c r="RR12" s="289"/>
      <c r="RS12" s="289"/>
      <c r="RT12" s="289"/>
      <c r="RU12" s="289"/>
      <c r="RV12" s="289"/>
      <c r="RW12" s="289"/>
      <c r="RX12" s="289"/>
      <c r="RY12" s="289"/>
      <c r="RZ12" s="289"/>
      <c r="SA12" s="289"/>
      <c r="SB12" s="289"/>
      <c r="SC12" s="289"/>
      <c r="SD12" s="289"/>
      <c r="SE12" s="289"/>
      <c r="SF12" s="289"/>
      <c r="SG12" s="289"/>
      <c r="SH12" s="289"/>
      <c r="SI12" s="289"/>
      <c r="SJ12" s="289"/>
      <c r="SK12" s="289"/>
      <c r="SL12" s="289"/>
      <c r="SM12" s="289"/>
      <c r="SN12" s="289"/>
      <c r="SO12" s="289"/>
      <c r="SP12" s="289"/>
      <c r="SQ12" s="289"/>
      <c r="SR12" s="289"/>
      <c r="SS12" s="289"/>
      <c r="ST12" s="289"/>
      <c r="SU12" s="289"/>
      <c r="SV12" s="289"/>
      <c r="SW12" s="289"/>
      <c r="SX12" s="289"/>
      <c r="SY12" s="289"/>
      <c r="SZ12" s="289"/>
      <c r="TA12" s="289"/>
      <c r="TB12" s="289"/>
      <c r="TC12" s="289"/>
      <c r="TD12" s="289"/>
      <c r="TE12" s="289"/>
      <c r="TF12" s="289"/>
      <c r="TG12" s="289"/>
      <c r="TH12" s="289"/>
      <c r="TI12" s="289"/>
      <c r="TJ12" s="289"/>
      <c r="TK12" s="289"/>
      <c r="TL12" s="289"/>
      <c r="TM12" s="289"/>
      <c r="TN12" s="289"/>
      <c r="TO12" s="289"/>
      <c r="TP12" s="289"/>
      <c r="TQ12" s="289"/>
      <c r="TR12" s="289"/>
      <c r="TS12" s="289"/>
      <c r="TT12" s="289"/>
      <c r="TU12" s="289"/>
      <c r="TV12" s="289"/>
      <c r="TW12" s="289"/>
      <c r="TX12" s="289"/>
      <c r="TY12" s="289"/>
      <c r="TZ12" s="289"/>
      <c r="UA12" s="289"/>
      <c r="UB12" s="289"/>
      <c r="UC12" s="289"/>
      <c r="UD12" s="289"/>
      <c r="UE12" s="289"/>
      <c r="UF12" s="289"/>
      <c r="UG12" s="289"/>
      <c r="UH12" s="289"/>
      <c r="UI12" s="289"/>
      <c r="UJ12" s="289"/>
      <c r="UK12" s="289"/>
      <c r="UL12" s="289"/>
      <c r="UM12" s="289"/>
      <c r="UN12" s="289"/>
      <c r="UO12" s="289"/>
      <c r="UP12" s="289"/>
      <c r="UQ12" s="289"/>
      <c r="UR12" s="289"/>
      <c r="US12" s="289"/>
      <c r="UT12" s="289"/>
      <c r="UU12" s="289"/>
      <c r="UV12" s="289"/>
      <c r="UW12" s="289"/>
      <c r="UX12" s="289"/>
      <c r="UY12" s="289"/>
      <c r="UZ12" s="289"/>
      <c r="VA12" s="289"/>
      <c r="VB12" s="289"/>
      <c r="VC12" s="289"/>
      <c r="VD12" s="289"/>
      <c r="VE12" s="289"/>
      <c r="VF12" s="289"/>
      <c r="VG12" s="289"/>
      <c r="VH12" s="289"/>
      <c r="VI12" s="289"/>
      <c r="VJ12" s="289"/>
      <c r="VK12" s="289"/>
      <c r="VL12" s="289"/>
      <c r="VM12" s="289"/>
      <c r="VN12" s="289"/>
      <c r="VO12" s="289"/>
      <c r="VP12" s="289"/>
      <c r="VQ12" s="289"/>
      <c r="VR12" s="289"/>
      <c r="VS12" s="289"/>
      <c r="VT12" s="289"/>
      <c r="VU12" s="289"/>
      <c r="VV12" s="289"/>
      <c r="VW12" s="289"/>
      <c r="VX12" s="289"/>
      <c r="VY12" s="289"/>
      <c r="VZ12" s="289"/>
      <c r="WA12" s="289"/>
      <c r="WB12" s="289"/>
      <c r="WC12" s="289"/>
      <c r="WD12" s="289"/>
      <c r="WE12" s="289"/>
      <c r="WF12" s="289"/>
      <c r="WG12" s="289"/>
      <c r="WH12" s="289"/>
      <c r="WI12" s="289"/>
      <c r="WJ12" s="289"/>
      <c r="WK12" s="289"/>
      <c r="WL12" s="289"/>
      <c r="WM12" s="289"/>
      <c r="WN12" s="289"/>
      <c r="WO12" s="289"/>
      <c r="WP12" s="289"/>
      <c r="WQ12" s="289"/>
      <c r="WR12" s="289"/>
      <c r="WS12" s="289"/>
      <c r="WT12" s="289"/>
      <c r="WU12" s="289"/>
      <c r="WV12" s="289"/>
      <c r="WW12" s="289"/>
      <c r="WX12" s="289"/>
      <c r="WY12" s="289"/>
      <c r="WZ12" s="289"/>
      <c r="XA12" s="289"/>
      <c r="XB12" s="289"/>
      <c r="XC12" s="289"/>
      <c r="XD12" s="289"/>
      <c r="XE12" s="289"/>
      <c r="XF12" s="289"/>
      <c r="XG12" s="289"/>
      <c r="XH12" s="289"/>
      <c r="XI12" s="289"/>
      <c r="XJ12" s="289"/>
      <c r="XK12" s="289"/>
      <c r="XL12" s="289"/>
      <c r="XM12" s="289"/>
      <c r="XN12" s="289"/>
      <c r="XO12" s="289"/>
      <c r="XP12" s="289"/>
      <c r="XQ12" s="289"/>
      <c r="XR12" s="289"/>
      <c r="XS12" s="289"/>
      <c r="XT12" s="289"/>
      <c r="XU12" s="289"/>
      <c r="XV12" s="289"/>
      <c r="XW12" s="289"/>
      <c r="XX12" s="289"/>
      <c r="XY12" s="289"/>
      <c r="XZ12" s="289"/>
      <c r="YA12" s="289"/>
      <c r="YB12" s="289"/>
      <c r="YC12" s="289"/>
      <c r="YD12" s="289"/>
      <c r="YE12" s="289"/>
      <c r="YF12" s="289"/>
      <c r="YG12" s="289"/>
      <c r="YH12" s="289"/>
      <c r="YI12" s="289"/>
      <c r="YJ12" s="289"/>
      <c r="YK12" s="289"/>
      <c r="YL12" s="289"/>
      <c r="YM12" s="289"/>
      <c r="YN12" s="289"/>
      <c r="YO12" s="289"/>
      <c r="YP12" s="289"/>
      <c r="YQ12" s="289"/>
      <c r="YR12" s="289"/>
      <c r="YS12" s="289"/>
      <c r="YT12" s="289"/>
      <c r="YU12" s="289"/>
      <c r="YV12" s="289"/>
      <c r="YW12" s="289"/>
      <c r="YX12" s="289"/>
      <c r="YY12" s="289"/>
      <c r="YZ12" s="289"/>
      <c r="ZA12" s="289"/>
      <c r="ZB12" s="289"/>
      <c r="ZC12" s="289"/>
      <c r="ZD12" s="289"/>
      <c r="ZE12" s="289"/>
      <c r="ZF12" s="289"/>
      <c r="ZG12" s="289"/>
      <c r="ZH12" s="289"/>
      <c r="ZI12" s="289"/>
      <c r="ZJ12" s="289"/>
      <c r="ZK12" s="289"/>
      <c r="ZL12" s="289"/>
      <c r="ZM12" s="289"/>
      <c r="ZN12" s="289"/>
      <c r="ZO12" s="289"/>
    </row>
    <row r="13" spans="1:691" s="289" customFormat="1" ht="15" customHeight="1" x14ac:dyDescent="0.25">
      <c r="A13" s="580" t="s">
        <v>4</v>
      </c>
      <c r="B13" s="581">
        <v>0</v>
      </c>
      <c r="C13" s="153">
        <v>0</v>
      </c>
      <c r="D13" s="582">
        <v>422</v>
      </c>
      <c r="E13" s="153">
        <v>2119</v>
      </c>
      <c r="F13" s="153"/>
      <c r="G13" s="582">
        <v>182110</v>
      </c>
      <c r="H13" s="583" t="s">
        <v>16</v>
      </c>
      <c r="K13" s="409"/>
    </row>
    <row r="14" spans="1:691" s="290" customFormat="1" ht="15" customHeight="1" x14ac:dyDescent="0.25">
      <c r="A14" s="694" t="s">
        <v>5</v>
      </c>
      <c r="B14" s="695">
        <v>0</v>
      </c>
      <c r="C14" s="661">
        <v>0</v>
      </c>
      <c r="D14" s="696">
        <v>95</v>
      </c>
      <c r="E14" s="661">
        <v>1143</v>
      </c>
      <c r="F14" s="661"/>
      <c r="G14" s="696">
        <v>25756</v>
      </c>
      <c r="H14" s="697" t="s">
        <v>23</v>
      </c>
      <c r="K14" s="40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  <c r="IX14" s="289"/>
      <c r="IY14" s="289"/>
      <c r="IZ14" s="289"/>
      <c r="JA14" s="289"/>
      <c r="JB14" s="289"/>
      <c r="JC14" s="289"/>
      <c r="JD14" s="289"/>
      <c r="JE14" s="289"/>
      <c r="JF14" s="289"/>
      <c r="JG14" s="289"/>
      <c r="JH14" s="289"/>
      <c r="JI14" s="289"/>
      <c r="JJ14" s="289"/>
      <c r="JK14" s="289"/>
      <c r="JL14" s="289"/>
      <c r="JM14" s="289"/>
      <c r="JN14" s="289"/>
      <c r="JO14" s="289"/>
      <c r="JP14" s="289"/>
      <c r="JQ14" s="289"/>
      <c r="JR14" s="289"/>
      <c r="JS14" s="289"/>
      <c r="JT14" s="289"/>
      <c r="JU14" s="289"/>
      <c r="JV14" s="289"/>
      <c r="JW14" s="289"/>
      <c r="JX14" s="289"/>
      <c r="JY14" s="289"/>
      <c r="JZ14" s="289"/>
      <c r="KA14" s="289"/>
      <c r="KB14" s="289"/>
      <c r="KC14" s="289"/>
      <c r="KD14" s="289"/>
      <c r="KE14" s="289"/>
      <c r="KF14" s="289"/>
      <c r="KG14" s="289"/>
      <c r="KH14" s="289"/>
      <c r="KI14" s="289"/>
      <c r="KJ14" s="289"/>
      <c r="KK14" s="289"/>
      <c r="KL14" s="289"/>
      <c r="KM14" s="289"/>
      <c r="KN14" s="289"/>
      <c r="KO14" s="289"/>
      <c r="KP14" s="289"/>
      <c r="KQ14" s="289"/>
      <c r="KR14" s="289"/>
      <c r="KS14" s="289"/>
      <c r="KT14" s="289"/>
      <c r="KU14" s="289"/>
      <c r="KV14" s="289"/>
      <c r="KW14" s="289"/>
      <c r="KX14" s="289"/>
      <c r="KY14" s="289"/>
      <c r="KZ14" s="289"/>
      <c r="LA14" s="289"/>
      <c r="LB14" s="289"/>
      <c r="LC14" s="289"/>
      <c r="LD14" s="289"/>
      <c r="LE14" s="289"/>
      <c r="LF14" s="289"/>
      <c r="LG14" s="289"/>
      <c r="LH14" s="289"/>
      <c r="LI14" s="289"/>
      <c r="LJ14" s="289"/>
      <c r="LK14" s="289"/>
      <c r="LL14" s="289"/>
      <c r="LM14" s="289"/>
      <c r="LN14" s="289"/>
      <c r="LO14" s="289"/>
      <c r="LP14" s="289"/>
      <c r="LQ14" s="289"/>
      <c r="LR14" s="289"/>
      <c r="LS14" s="289"/>
      <c r="LT14" s="289"/>
      <c r="LU14" s="289"/>
      <c r="LV14" s="289"/>
      <c r="LW14" s="289"/>
      <c r="LX14" s="289"/>
      <c r="LY14" s="289"/>
      <c r="LZ14" s="289"/>
      <c r="MA14" s="289"/>
      <c r="MB14" s="289"/>
      <c r="MC14" s="289"/>
      <c r="MD14" s="289"/>
      <c r="ME14" s="289"/>
      <c r="MF14" s="289"/>
      <c r="MG14" s="289"/>
      <c r="MH14" s="289"/>
      <c r="MI14" s="289"/>
      <c r="MJ14" s="289"/>
      <c r="MK14" s="289"/>
      <c r="ML14" s="289"/>
      <c r="MM14" s="289"/>
      <c r="MN14" s="289"/>
      <c r="MO14" s="289"/>
      <c r="MP14" s="289"/>
      <c r="MQ14" s="289"/>
      <c r="MR14" s="289"/>
      <c r="MS14" s="289"/>
      <c r="MT14" s="289"/>
      <c r="MU14" s="289"/>
      <c r="MV14" s="289"/>
      <c r="MW14" s="289"/>
      <c r="MX14" s="289"/>
      <c r="MY14" s="289"/>
      <c r="MZ14" s="289"/>
      <c r="NA14" s="289"/>
      <c r="NB14" s="289"/>
      <c r="NC14" s="289"/>
      <c r="ND14" s="289"/>
      <c r="NE14" s="289"/>
      <c r="NF14" s="289"/>
      <c r="NG14" s="289"/>
      <c r="NH14" s="289"/>
      <c r="NI14" s="289"/>
      <c r="NJ14" s="289"/>
      <c r="NK14" s="289"/>
      <c r="NL14" s="289"/>
      <c r="NM14" s="289"/>
      <c r="NN14" s="289"/>
      <c r="NO14" s="289"/>
      <c r="NP14" s="289"/>
      <c r="NQ14" s="289"/>
      <c r="NR14" s="289"/>
      <c r="NS14" s="289"/>
      <c r="NT14" s="289"/>
      <c r="NU14" s="289"/>
      <c r="NV14" s="289"/>
      <c r="NW14" s="289"/>
      <c r="NX14" s="289"/>
      <c r="NY14" s="289"/>
      <c r="NZ14" s="289"/>
      <c r="OA14" s="289"/>
      <c r="OB14" s="289"/>
      <c r="OC14" s="289"/>
      <c r="OD14" s="289"/>
      <c r="OE14" s="289"/>
      <c r="OF14" s="289"/>
      <c r="OG14" s="289"/>
      <c r="OH14" s="289"/>
      <c r="OI14" s="289"/>
      <c r="OJ14" s="289"/>
      <c r="OK14" s="289"/>
      <c r="OL14" s="289"/>
      <c r="OM14" s="289"/>
      <c r="ON14" s="289"/>
      <c r="OO14" s="289"/>
      <c r="OP14" s="289"/>
      <c r="OQ14" s="289"/>
      <c r="OR14" s="289"/>
      <c r="OS14" s="289"/>
      <c r="OT14" s="289"/>
      <c r="OU14" s="289"/>
      <c r="OV14" s="289"/>
      <c r="OW14" s="289"/>
      <c r="OX14" s="289"/>
      <c r="OY14" s="289"/>
      <c r="OZ14" s="289"/>
      <c r="PA14" s="289"/>
      <c r="PB14" s="289"/>
      <c r="PC14" s="289"/>
      <c r="PD14" s="289"/>
      <c r="PE14" s="289"/>
      <c r="PF14" s="289"/>
      <c r="PG14" s="289"/>
      <c r="PH14" s="289"/>
      <c r="PI14" s="289"/>
      <c r="PJ14" s="289"/>
      <c r="PK14" s="289"/>
      <c r="PL14" s="289"/>
      <c r="PM14" s="289"/>
      <c r="PN14" s="289"/>
      <c r="PO14" s="289"/>
      <c r="PP14" s="289"/>
      <c r="PQ14" s="289"/>
      <c r="PR14" s="289"/>
      <c r="PS14" s="289"/>
      <c r="PT14" s="289"/>
      <c r="PU14" s="289"/>
      <c r="PV14" s="289"/>
      <c r="PW14" s="289"/>
      <c r="PX14" s="289"/>
      <c r="PY14" s="289"/>
      <c r="PZ14" s="289"/>
      <c r="QA14" s="289"/>
      <c r="QB14" s="289"/>
      <c r="QC14" s="289"/>
      <c r="QD14" s="289"/>
      <c r="QE14" s="289"/>
      <c r="QF14" s="289"/>
      <c r="QG14" s="289"/>
      <c r="QH14" s="289"/>
      <c r="QI14" s="289"/>
      <c r="QJ14" s="289"/>
      <c r="QK14" s="289"/>
      <c r="QL14" s="289"/>
      <c r="QM14" s="289"/>
      <c r="QN14" s="289"/>
      <c r="QO14" s="289"/>
      <c r="QP14" s="289"/>
      <c r="QQ14" s="289"/>
      <c r="QR14" s="289"/>
      <c r="QS14" s="289"/>
      <c r="QT14" s="289"/>
      <c r="QU14" s="289"/>
      <c r="QV14" s="289"/>
      <c r="QW14" s="289"/>
      <c r="QX14" s="289"/>
      <c r="QY14" s="289"/>
      <c r="QZ14" s="289"/>
      <c r="RA14" s="289"/>
      <c r="RB14" s="289"/>
      <c r="RC14" s="289"/>
      <c r="RD14" s="289"/>
      <c r="RE14" s="289"/>
      <c r="RF14" s="289"/>
      <c r="RG14" s="289"/>
      <c r="RH14" s="289"/>
      <c r="RI14" s="289"/>
      <c r="RJ14" s="289"/>
      <c r="RK14" s="289"/>
      <c r="RL14" s="289"/>
      <c r="RM14" s="289"/>
      <c r="RN14" s="289"/>
      <c r="RO14" s="289"/>
      <c r="RP14" s="289"/>
      <c r="RQ14" s="289"/>
      <c r="RR14" s="289"/>
      <c r="RS14" s="289"/>
      <c r="RT14" s="289"/>
      <c r="RU14" s="289"/>
      <c r="RV14" s="289"/>
      <c r="RW14" s="289"/>
      <c r="RX14" s="289"/>
      <c r="RY14" s="289"/>
      <c r="RZ14" s="289"/>
      <c r="SA14" s="289"/>
      <c r="SB14" s="289"/>
      <c r="SC14" s="289"/>
      <c r="SD14" s="289"/>
      <c r="SE14" s="289"/>
      <c r="SF14" s="289"/>
      <c r="SG14" s="289"/>
      <c r="SH14" s="289"/>
      <c r="SI14" s="289"/>
      <c r="SJ14" s="289"/>
      <c r="SK14" s="289"/>
      <c r="SL14" s="289"/>
      <c r="SM14" s="289"/>
      <c r="SN14" s="289"/>
      <c r="SO14" s="289"/>
      <c r="SP14" s="289"/>
      <c r="SQ14" s="289"/>
      <c r="SR14" s="289"/>
      <c r="SS14" s="289"/>
      <c r="ST14" s="289"/>
      <c r="SU14" s="289"/>
      <c r="SV14" s="289"/>
      <c r="SW14" s="289"/>
      <c r="SX14" s="289"/>
      <c r="SY14" s="289"/>
      <c r="SZ14" s="289"/>
      <c r="TA14" s="289"/>
      <c r="TB14" s="289"/>
      <c r="TC14" s="289"/>
      <c r="TD14" s="289"/>
      <c r="TE14" s="289"/>
      <c r="TF14" s="289"/>
      <c r="TG14" s="289"/>
      <c r="TH14" s="289"/>
      <c r="TI14" s="289"/>
      <c r="TJ14" s="289"/>
      <c r="TK14" s="289"/>
      <c r="TL14" s="289"/>
      <c r="TM14" s="289"/>
      <c r="TN14" s="289"/>
      <c r="TO14" s="289"/>
      <c r="TP14" s="289"/>
      <c r="TQ14" s="289"/>
      <c r="TR14" s="289"/>
      <c r="TS14" s="289"/>
      <c r="TT14" s="289"/>
      <c r="TU14" s="289"/>
      <c r="TV14" s="289"/>
      <c r="TW14" s="289"/>
      <c r="TX14" s="289"/>
      <c r="TY14" s="289"/>
      <c r="TZ14" s="289"/>
      <c r="UA14" s="289"/>
      <c r="UB14" s="289"/>
      <c r="UC14" s="289"/>
      <c r="UD14" s="289"/>
      <c r="UE14" s="289"/>
      <c r="UF14" s="289"/>
      <c r="UG14" s="289"/>
      <c r="UH14" s="289"/>
      <c r="UI14" s="289"/>
      <c r="UJ14" s="289"/>
      <c r="UK14" s="289"/>
      <c r="UL14" s="289"/>
      <c r="UM14" s="289"/>
      <c r="UN14" s="289"/>
      <c r="UO14" s="289"/>
      <c r="UP14" s="289"/>
      <c r="UQ14" s="289"/>
      <c r="UR14" s="289"/>
      <c r="US14" s="289"/>
      <c r="UT14" s="289"/>
      <c r="UU14" s="289"/>
      <c r="UV14" s="289"/>
      <c r="UW14" s="289"/>
      <c r="UX14" s="289"/>
      <c r="UY14" s="289"/>
      <c r="UZ14" s="289"/>
      <c r="VA14" s="289"/>
      <c r="VB14" s="289"/>
      <c r="VC14" s="289"/>
      <c r="VD14" s="289"/>
      <c r="VE14" s="289"/>
      <c r="VF14" s="289"/>
      <c r="VG14" s="289"/>
      <c r="VH14" s="289"/>
      <c r="VI14" s="289"/>
      <c r="VJ14" s="289"/>
      <c r="VK14" s="289"/>
      <c r="VL14" s="289"/>
      <c r="VM14" s="289"/>
      <c r="VN14" s="289"/>
      <c r="VO14" s="289"/>
      <c r="VP14" s="289"/>
      <c r="VQ14" s="289"/>
      <c r="VR14" s="289"/>
      <c r="VS14" s="289"/>
      <c r="VT14" s="289"/>
      <c r="VU14" s="289"/>
      <c r="VV14" s="289"/>
      <c r="VW14" s="289"/>
      <c r="VX14" s="289"/>
      <c r="VY14" s="289"/>
      <c r="VZ14" s="289"/>
      <c r="WA14" s="289"/>
      <c r="WB14" s="289"/>
      <c r="WC14" s="289"/>
      <c r="WD14" s="289"/>
      <c r="WE14" s="289"/>
      <c r="WF14" s="289"/>
      <c r="WG14" s="289"/>
      <c r="WH14" s="289"/>
      <c r="WI14" s="289"/>
      <c r="WJ14" s="289"/>
      <c r="WK14" s="289"/>
      <c r="WL14" s="289"/>
      <c r="WM14" s="289"/>
      <c r="WN14" s="289"/>
      <c r="WO14" s="289"/>
      <c r="WP14" s="289"/>
      <c r="WQ14" s="289"/>
      <c r="WR14" s="289"/>
      <c r="WS14" s="289"/>
      <c r="WT14" s="289"/>
      <c r="WU14" s="289"/>
      <c r="WV14" s="289"/>
      <c r="WW14" s="289"/>
      <c r="WX14" s="289"/>
      <c r="WY14" s="289"/>
      <c r="WZ14" s="289"/>
      <c r="XA14" s="289"/>
      <c r="XB14" s="289"/>
      <c r="XC14" s="289"/>
      <c r="XD14" s="289"/>
      <c r="XE14" s="289"/>
      <c r="XF14" s="289"/>
      <c r="XG14" s="289"/>
      <c r="XH14" s="289"/>
      <c r="XI14" s="289"/>
      <c r="XJ14" s="289"/>
      <c r="XK14" s="289"/>
      <c r="XL14" s="289"/>
      <c r="XM14" s="289"/>
      <c r="XN14" s="289"/>
      <c r="XO14" s="289"/>
      <c r="XP14" s="289"/>
      <c r="XQ14" s="289"/>
      <c r="XR14" s="289"/>
      <c r="XS14" s="289"/>
      <c r="XT14" s="289"/>
      <c r="XU14" s="289"/>
      <c r="XV14" s="289"/>
      <c r="XW14" s="289"/>
      <c r="XX14" s="289"/>
      <c r="XY14" s="289"/>
      <c r="XZ14" s="289"/>
      <c r="YA14" s="289"/>
      <c r="YB14" s="289"/>
      <c r="YC14" s="289"/>
      <c r="YD14" s="289"/>
      <c r="YE14" s="289"/>
      <c r="YF14" s="289"/>
      <c r="YG14" s="289"/>
      <c r="YH14" s="289"/>
      <c r="YI14" s="289"/>
      <c r="YJ14" s="289"/>
      <c r="YK14" s="289"/>
      <c r="YL14" s="289"/>
      <c r="YM14" s="289"/>
      <c r="YN14" s="289"/>
      <c r="YO14" s="289"/>
      <c r="YP14" s="289"/>
      <c r="YQ14" s="289"/>
      <c r="YR14" s="289"/>
      <c r="YS14" s="289"/>
      <c r="YT14" s="289"/>
      <c r="YU14" s="289"/>
      <c r="YV14" s="289"/>
      <c r="YW14" s="289"/>
      <c r="YX14" s="289"/>
      <c r="YY14" s="289"/>
      <c r="YZ14" s="289"/>
      <c r="ZA14" s="289"/>
      <c r="ZB14" s="289"/>
      <c r="ZC14" s="289"/>
      <c r="ZD14" s="289"/>
      <c r="ZE14" s="289"/>
      <c r="ZF14" s="289"/>
      <c r="ZG14" s="289"/>
      <c r="ZH14" s="289"/>
      <c r="ZI14" s="289"/>
      <c r="ZJ14" s="289"/>
      <c r="ZK14" s="289"/>
      <c r="ZL14" s="289"/>
      <c r="ZM14" s="289"/>
      <c r="ZN14" s="289"/>
      <c r="ZO14" s="289"/>
    </row>
    <row r="15" spans="1:691" s="289" customFormat="1" ht="15" customHeight="1" x14ac:dyDescent="0.25">
      <c r="A15" s="396" t="s">
        <v>6</v>
      </c>
      <c r="B15" s="436">
        <v>182</v>
      </c>
      <c r="C15" s="392">
        <f>B15*50</f>
        <v>9100</v>
      </c>
      <c r="D15" s="437">
        <v>27</v>
      </c>
      <c r="E15" s="392">
        <v>255</v>
      </c>
      <c r="F15" s="392"/>
      <c r="G15" s="582">
        <v>27160</v>
      </c>
      <c r="H15" s="397" t="s">
        <v>24</v>
      </c>
      <c r="K15" s="409"/>
    </row>
    <row r="16" spans="1:691" s="290" customFormat="1" ht="15" customHeight="1" x14ac:dyDescent="0.25">
      <c r="A16" s="694" t="s">
        <v>11</v>
      </c>
      <c r="B16" s="695">
        <v>0</v>
      </c>
      <c r="C16" s="661">
        <v>0</v>
      </c>
      <c r="D16" s="696">
        <v>44</v>
      </c>
      <c r="E16" s="661">
        <v>183</v>
      </c>
      <c r="F16" s="661"/>
      <c r="G16" s="696">
        <v>11885</v>
      </c>
      <c r="H16" s="697" t="s">
        <v>21</v>
      </c>
      <c r="K16" s="40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  <c r="IX16" s="289"/>
      <c r="IY16" s="289"/>
      <c r="IZ16" s="289"/>
      <c r="JA16" s="289"/>
      <c r="JB16" s="289"/>
      <c r="JC16" s="289"/>
      <c r="JD16" s="289"/>
      <c r="JE16" s="289"/>
      <c r="JF16" s="289"/>
      <c r="JG16" s="289"/>
      <c r="JH16" s="289"/>
      <c r="JI16" s="289"/>
      <c r="JJ16" s="289"/>
      <c r="JK16" s="289"/>
      <c r="JL16" s="289"/>
      <c r="JM16" s="289"/>
      <c r="JN16" s="289"/>
      <c r="JO16" s="289"/>
      <c r="JP16" s="289"/>
      <c r="JQ16" s="289"/>
      <c r="JR16" s="289"/>
      <c r="JS16" s="289"/>
      <c r="JT16" s="289"/>
      <c r="JU16" s="289"/>
      <c r="JV16" s="289"/>
      <c r="JW16" s="289"/>
      <c r="JX16" s="289"/>
      <c r="JY16" s="289"/>
      <c r="JZ16" s="289"/>
      <c r="KA16" s="289"/>
      <c r="KB16" s="289"/>
      <c r="KC16" s="289"/>
      <c r="KD16" s="289"/>
      <c r="KE16" s="289"/>
      <c r="KF16" s="289"/>
      <c r="KG16" s="289"/>
      <c r="KH16" s="289"/>
      <c r="KI16" s="289"/>
      <c r="KJ16" s="289"/>
      <c r="KK16" s="289"/>
      <c r="KL16" s="289"/>
      <c r="KM16" s="289"/>
      <c r="KN16" s="289"/>
      <c r="KO16" s="289"/>
      <c r="KP16" s="289"/>
      <c r="KQ16" s="289"/>
      <c r="KR16" s="289"/>
      <c r="KS16" s="289"/>
      <c r="KT16" s="289"/>
      <c r="KU16" s="289"/>
      <c r="KV16" s="289"/>
      <c r="KW16" s="289"/>
      <c r="KX16" s="289"/>
      <c r="KY16" s="289"/>
      <c r="KZ16" s="289"/>
      <c r="LA16" s="289"/>
      <c r="LB16" s="289"/>
      <c r="LC16" s="289"/>
      <c r="LD16" s="289"/>
      <c r="LE16" s="289"/>
      <c r="LF16" s="289"/>
      <c r="LG16" s="289"/>
      <c r="LH16" s="289"/>
      <c r="LI16" s="289"/>
      <c r="LJ16" s="289"/>
      <c r="LK16" s="289"/>
      <c r="LL16" s="289"/>
      <c r="LM16" s="289"/>
      <c r="LN16" s="289"/>
      <c r="LO16" s="289"/>
      <c r="LP16" s="289"/>
      <c r="LQ16" s="289"/>
      <c r="LR16" s="289"/>
      <c r="LS16" s="289"/>
      <c r="LT16" s="289"/>
      <c r="LU16" s="289"/>
      <c r="LV16" s="289"/>
      <c r="LW16" s="289"/>
      <c r="LX16" s="289"/>
      <c r="LY16" s="289"/>
      <c r="LZ16" s="289"/>
      <c r="MA16" s="289"/>
      <c r="MB16" s="289"/>
      <c r="MC16" s="289"/>
      <c r="MD16" s="289"/>
      <c r="ME16" s="289"/>
      <c r="MF16" s="289"/>
      <c r="MG16" s="289"/>
      <c r="MH16" s="289"/>
      <c r="MI16" s="289"/>
      <c r="MJ16" s="289"/>
      <c r="MK16" s="289"/>
      <c r="ML16" s="289"/>
      <c r="MM16" s="289"/>
      <c r="MN16" s="289"/>
      <c r="MO16" s="289"/>
      <c r="MP16" s="289"/>
      <c r="MQ16" s="289"/>
      <c r="MR16" s="289"/>
      <c r="MS16" s="289"/>
      <c r="MT16" s="289"/>
      <c r="MU16" s="289"/>
      <c r="MV16" s="289"/>
      <c r="MW16" s="289"/>
      <c r="MX16" s="289"/>
      <c r="MY16" s="289"/>
      <c r="MZ16" s="289"/>
      <c r="NA16" s="289"/>
      <c r="NB16" s="289"/>
      <c r="NC16" s="289"/>
      <c r="ND16" s="289"/>
      <c r="NE16" s="289"/>
      <c r="NF16" s="289"/>
      <c r="NG16" s="289"/>
      <c r="NH16" s="289"/>
      <c r="NI16" s="289"/>
      <c r="NJ16" s="289"/>
      <c r="NK16" s="289"/>
      <c r="NL16" s="289"/>
      <c r="NM16" s="289"/>
      <c r="NN16" s="289"/>
      <c r="NO16" s="289"/>
      <c r="NP16" s="289"/>
      <c r="NQ16" s="289"/>
      <c r="NR16" s="289"/>
      <c r="NS16" s="289"/>
      <c r="NT16" s="289"/>
      <c r="NU16" s="289"/>
      <c r="NV16" s="289"/>
      <c r="NW16" s="289"/>
      <c r="NX16" s="289"/>
      <c r="NY16" s="289"/>
      <c r="NZ16" s="289"/>
      <c r="OA16" s="289"/>
      <c r="OB16" s="289"/>
      <c r="OC16" s="289"/>
      <c r="OD16" s="289"/>
      <c r="OE16" s="289"/>
      <c r="OF16" s="289"/>
      <c r="OG16" s="289"/>
      <c r="OH16" s="289"/>
      <c r="OI16" s="289"/>
      <c r="OJ16" s="289"/>
      <c r="OK16" s="289"/>
      <c r="OL16" s="289"/>
      <c r="OM16" s="289"/>
      <c r="ON16" s="289"/>
      <c r="OO16" s="289"/>
      <c r="OP16" s="289"/>
      <c r="OQ16" s="289"/>
      <c r="OR16" s="289"/>
      <c r="OS16" s="289"/>
      <c r="OT16" s="289"/>
      <c r="OU16" s="289"/>
      <c r="OV16" s="289"/>
      <c r="OW16" s="289"/>
      <c r="OX16" s="289"/>
      <c r="OY16" s="289"/>
      <c r="OZ16" s="289"/>
      <c r="PA16" s="289"/>
      <c r="PB16" s="289"/>
      <c r="PC16" s="289"/>
      <c r="PD16" s="289"/>
      <c r="PE16" s="289"/>
      <c r="PF16" s="289"/>
      <c r="PG16" s="289"/>
      <c r="PH16" s="289"/>
      <c r="PI16" s="289"/>
      <c r="PJ16" s="289"/>
      <c r="PK16" s="289"/>
      <c r="PL16" s="289"/>
      <c r="PM16" s="289"/>
      <c r="PN16" s="289"/>
      <c r="PO16" s="289"/>
      <c r="PP16" s="289"/>
      <c r="PQ16" s="289"/>
      <c r="PR16" s="289"/>
      <c r="PS16" s="289"/>
      <c r="PT16" s="289"/>
      <c r="PU16" s="289"/>
      <c r="PV16" s="289"/>
      <c r="PW16" s="289"/>
      <c r="PX16" s="289"/>
      <c r="PY16" s="289"/>
      <c r="PZ16" s="289"/>
      <c r="QA16" s="289"/>
      <c r="QB16" s="289"/>
      <c r="QC16" s="289"/>
      <c r="QD16" s="289"/>
      <c r="QE16" s="289"/>
      <c r="QF16" s="289"/>
      <c r="QG16" s="289"/>
      <c r="QH16" s="289"/>
      <c r="QI16" s="289"/>
      <c r="QJ16" s="289"/>
      <c r="QK16" s="289"/>
      <c r="QL16" s="289"/>
      <c r="QM16" s="289"/>
      <c r="QN16" s="289"/>
      <c r="QO16" s="289"/>
      <c r="QP16" s="289"/>
      <c r="QQ16" s="289"/>
      <c r="QR16" s="289"/>
      <c r="QS16" s="289"/>
      <c r="QT16" s="289"/>
      <c r="QU16" s="289"/>
      <c r="QV16" s="289"/>
      <c r="QW16" s="289"/>
      <c r="QX16" s="289"/>
      <c r="QY16" s="289"/>
      <c r="QZ16" s="289"/>
      <c r="RA16" s="289"/>
      <c r="RB16" s="289"/>
      <c r="RC16" s="289"/>
      <c r="RD16" s="289"/>
      <c r="RE16" s="289"/>
      <c r="RF16" s="289"/>
      <c r="RG16" s="289"/>
      <c r="RH16" s="289"/>
      <c r="RI16" s="289"/>
      <c r="RJ16" s="289"/>
      <c r="RK16" s="289"/>
      <c r="RL16" s="289"/>
      <c r="RM16" s="289"/>
      <c r="RN16" s="289"/>
      <c r="RO16" s="289"/>
      <c r="RP16" s="289"/>
      <c r="RQ16" s="289"/>
      <c r="RR16" s="289"/>
      <c r="RS16" s="289"/>
      <c r="RT16" s="289"/>
      <c r="RU16" s="289"/>
      <c r="RV16" s="289"/>
      <c r="RW16" s="289"/>
      <c r="RX16" s="289"/>
      <c r="RY16" s="289"/>
      <c r="RZ16" s="289"/>
      <c r="SA16" s="289"/>
      <c r="SB16" s="289"/>
      <c r="SC16" s="289"/>
      <c r="SD16" s="289"/>
      <c r="SE16" s="289"/>
      <c r="SF16" s="289"/>
      <c r="SG16" s="289"/>
      <c r="SH16" s="289"/>
      <c r="SI16" s="289"/>
      <c r="SJ16" s="289"/>
      <c r="SK16" s="289"/>
      <c r="SL16" s="289"/>
      <c r="SM16" s="289"/>
      <c r="SN16" s="289"/>
      <c r="SO16" s="289"/>
      <c r="SP16" s="289"/>
      <c r="SQ16" s="289"/>
      <c r="SR16" s="289"/>
      <c r="SS16" s="289"/>
      <c r="ST16" s="289"/>
      <c r="SU16" s="289"/>
      <c r="SV16" s="289"/>
      <c r="SW16" s="289"/>
      <c r="SX16" s="289"/>
      <c r="SY16" s="289"/>
      <c r="SZ16" s="289"/>
      <c r="TA16" s="289"/>
      <c r="TB16" s="289"/>
      <c r="TC16" s="289"/>
      <c r="TD16" s="289"/>
      <c r="TE16" s="289"/>
      <c r="TF16" s="289"/>
      <c r="TG16" s="289"/>
      <c r="TH16" s="289"/>
      <c r="TI16" s="289"/>
      <c r="TJ16" s="289"/>
      <c r="TK16" s="289"/>
      <c r="TL16" s="289"/>
      <c r="TM16" s="289"/>
      <c r="TN16" s="289"/>
      <c r="TO16" s="289"/>
      <c r="TP16" s="289"/>
      <c r="TQ16" s="289"/>
      <c r="TR16" s="289"/>
      <c r="TS16" s="289"/>
      <c r="TT16" s="289"/>
      <c r="TU16" s="289"/>
      <c r="TV16" s="289"/>
      <c r="TW16" s="289"/>
      <c r="TX16" s="289"/>
      <c r="TY16" s="289"/>
      <c r="TZ16" s="289"/>
      <c r="UA16" s="289"/>
      <c r="UB16" s="289"/>
      <c r="UC16" s="289"/>
      <c r="UD16" s="289"/>
      <c r="UE16" s="289"/>
      <c r="UF16" s="289"/>
      <c r="UG16" s="289"/>
      <c r="UH16" s="289"/>
      <c r="UI16" s="289"/>
      <c r="UJ16" s="289"/>
      <c r="UK16" s="289"/>
      <c r="UL16" s="289"/>
      <c r="UM16" s="289"/>
      <c r="UN16" s="289"/>
      <c r="UO16" s="289"/>
      <c r="UP16" s="289"/>
      <c r="UQ16" s="289"/>
      <c r="UR16" s="289"/>
      <c r="US16" s="289"/>
      <c r="UT16" s="289"/>
      <c r="UU16" s="289"/>
      <c r="UV16" s="289"/>
      <c r="UW16" s="289"/>
      <c r="UX16" s="289"/>
      <c r="UY16" s="289"/>
      <c r="UZ16" s="289"/>
      <c r="VA16" s="289"/>
      <c r="VB16" s="289"/>
      <c r="VC16" s="289"/>
      <c r="VD16" s="289"/>
      <c r="VE16" s="289"/>
      <c r="VF16" s="289"/>
      <c r="VG16" s="289"/>
      <c r="VH16" s="289"/>
      <c r="VI16" s="289"/>
      <c r="VJ16" s="289"/>
      <c r="VK16" s="289"/>
      <c r="VL16" s="289"/>
      <c r="VM16" s="289"/>
      <c r="VN16" s="289"/>
      <c r="VO16" s="289"/>
      <c r="VP16" s="289"/>
      <c r="VQ16" s="289"/>
      <c r="VR16" s="289"/>
      <c r="VS16" s="289"/>
      <c r="VT16" s="289"/>
      <c r="VU16" s="289"/>
      <c r="VV16" s="289"/>
      <c r="VW16" s="289"/>
      <c r="VX16" s="289"/>
      <c r="VY16" s="289"/>
      <c r="VZ16" s="289"/>
      <c r="WA16" s="289"/>
      <c r="WB16" s="289"/>
      <c r="WC16" s="289"/>
      <c r="WD16" s="289"/>
      <c r="WE16" s="289"/>
      <c r="WF16" s="289"/>
      <c r="WG16" s="289"/>
      <c r="WH16" s="289"/>
      <c r="WI16" s="289"/>
      <c r="WJ16" s="289"/>
      <c r="WK16" s="289"/>
      <c r="WL16" s="289"/>
      <c r="WM16" s="289"/>
      <c r="WN16" s="289"/>
      <c r="WO16" s="289"/>
      <c r="WP16" s="289"/>
      <c r="WQ16" s="289"/>
      <c r="WR16" s="289"/>
      <c r="WS16" s="289"/>
      <c r="WT16" s="289"/>
      <c r="WU16" s="289"/>
      <c r="WV16" s="289"/>
      <c r="WW16" s="289"/>
      <c r="WX16" s="289"/>
      <c r="WY16" s="289"/>
      <c r="WZ16" s="289"/>
      <c r="XA16" s="289"/>
      <c r="XB16" s="289"/>
      <c r="XC16" s="289"/>
      <c r="XD16" s="289"/>
      <c r="XE16" s="289"/>
      <c r="XF16" s="289"/>
      <c r="XG16" s="289"/>
      <c r="XH16" s="289"/>
      <c r="XI16" s="289"/>
      <c r="XJ16" s="289"/>
      <c r="XK16" s="289"/>
      <c r="XL16" s="289"/>
      <c r="XM16" s="289"/>
      <c r="XN16" s="289"/>
      <c r="XO16" s="289"/>
      <c r="XP16" s="289"/>
      <c r="XQ16" s="289"/>
      <c r="XR16" s="289"/>
      <c r="XS16" s="289"/>
      <c r="XT16" s="289"/>
      <c r="XU16" s="289"/>
      <c r="XV16" s="289"/>
      <c r="XW16" s="289"/>
      <c r="XX16" s="289"/>
      <c r="XY16" s="289"/>
      <c r="XZ16" s="289"/>
      <c r="YA16" s="289"/>
      <c r="YB16" s="289"/>
      <c r="YC16" s="289"/>
      <c r="YD16" s="289"/>
      <c r="YE16" s="289"/>
      <c r="YF16" s="289"/>
      <c r="YG16" s="289"/>
      <c r="YH16" s="289"/>
      <c r="YI16" s="289"/>
      <c r="YJ16" s="289"/>
      <c r="YK16" s="289"/>
      <c r="YL16" s="289"/>
      <c r="YM16" s="289"/>
      <c r="YN16" s="289"/>
      <c r="YO16" s="289"/>
      <c r="YP16" s="289"/>
      <c r="YQ16" s="289"/>
      <c r="YR16" s="289"/>
      <c r="YS16" s="289"/>
      <c r="YT16" s="289"/>
      <c r="YU16" s="289"/>
      <c r="YV16" s="289"/>
      <c r="YW16" s="289"/>
      <c r="YX16" s="289"/>
      <c r="YY16" s="289"/>
      <c r="YZ16" s="289"/>
      <c r="ZA16" s="289"/>
      <c r="ZB16" s="289"/>
      <c r="ZC16" s="289"/>
      <c r="ZD16" s="289"/>
      <c r="ZE16" s="289"/>
      <c r="ZF16" s="289"/>
      <c r="ZG16" s="289"/>
      <c r="ZH16" s="289"/>
      <c r="ZI16" s="289"/>
      <c r="ZJ16" s="289"/>
      <c r="ZK16" s="289"/>
      <c r="ZL16" s="289"/>
      <c r="ZM16" s="289"/>
      <c r="ZN16" s="289"/>
      <c r="ZO16" s="289"/>
    </row>
    <row r="17" spans="1:691" s="290" customFormat="1" ht="15" customHeight="1" x14ac:dyDescent="0.25">
      <c r="A17" s="580" t="s">
        <v>2</v>
      </c>
      <c r="B17" s="581">
        <v>0</v>
      </c>
      <c r="C17" s="153">
        <v>0</v>
      </c>
      <c r="D17" s="582">
        <v>27</v>
      </c>
      <c r="E17" s="153">
        <v>130</v>
      </c>
      <c r="F17" s="153"/>
      <c r="G17" s="582">
        <v>6719</v>
      </c>
      <c r="H17" s="583" t="s">
        <v>14</v>
      </c>
      <c r="K17" s="40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  <c r="IX17" s="289"/>
      <c r="IY17" s="289"/>
      <c r="IZ17" s="289"/>
      <c r="JA17" s="289"/>
      <c r="JB17" s="289"/>
      <c r="JC17" s="289"/>
      <c r="JD17" s="289"/>
      <c r="JE17" s="289"/>
      <c r="JF17" s="289"/>
      <c r="JG17" s="289"/>
      <c r="JH17" s="289"/>
      <c r="JI17" s="289"/>
      <c r="JJ17" s="289"/>
      <c r="JK17" s="289"/>
      <c r="JL17" s="289"/>
      <c r="JM17" s="289"/>
      <c r="JN17" s="289"/>
      <c r="JO17" s="289"/>
      <c r="JP17" s="289"/>
      <c r="JQ17" s="289"/>
      <c r="JR17" s="289"/>
      <c r="JS17" s="289"/>
      <c r="JT17" s="289"/>
      <c r="JU17" s="289"/>
      <c r="JV17" s="289"/>
      <c r="JW17" s="289"/>
      <c r="JX17" s="289"/>
      <c r="JY17" s="289"/>
      <c r="JZ17" s="289"/>
      <c r="KA17" s="289"/>
      <c r="KB17" s="289"/>
      <c r="KC17" s="289"/>
      <c r="KD17" s="289"/>
      <c r="KE17" s="289"/>
      <c r="KF17" s="289"/>
      <c r="KG17" s="289"/>
      <c r="KH17" s="289"/>
      <c r="KI17" s="289"/>
      <c r="KJ17" s="289"/>
      <c r="KK17" s="289"/>
      <c r="KL17" s="289"/>
      <c r="KM17" s="289"/>
      <c r="KN17" s="289"/>
      <c r="KO17" s="289"/>
      <c r="KP17" s="289"/>
      <c r="KQ17" s="289"/>
      <c r="KR17" s="289"/>
      <c r="KS17" s="289"/>
      <c r="KT17" s="289"/>
      <c r="KU17" s="289"/>
      <c r="KV17" s="289"/>
      <c r="KW17" s="289"/>
      <c r="KX17" s="289"/>
      <c r="KY17" s="289"/>
      <c r="KZ17" s="289"/>
      <c r="LA17" s="289"/>
      <c r="LB17" s="289"/>
      <c r="LC17" s="289"/>
      <c r="LD17" s="289"/>
      <c r="LE17" s="289"/>
      <c r="LF17" s="289"/>
      <c r="LG17" s="289"/>
      <c r="LH17" s="289"/>
      <c r="LI17" s="289"/>
      <c r="LJ17" s="289"/>
      <c r="LK17" s="289"/>
      <c r="LL17" s="289"/>
      <c r="LM17" s="289"/>
      <c r="LN17" s="289"/>
      <c r="LO17" s="289"/>
      <c r="LP17" s="289"/>
      <c r="LQ17" s="289"/>
      <c r="LR17" s="289"/>
      <c r="LS17" s="289"/>
      <c r="LT17" s="289"/>
      <c r="LU17" s="289"/>
      <c r="LV17" s="289"/>
      <c r="LW17" s="289"/>
      <c r="LX17" s="289"/>
      <c r="LY17" s="289"/>
      <c r="LZ17" s="289"/>
      <c r="MA17" s="289"/>
      <c r="MB17" s="289"/>
      <c r="MC17" s="289"/>
      <c r="MD17" s="289"/>
      <c r="ME17" s="289"/>
      <c r="MF17" s="289"/>
      <c r="MG17" s="289"/>
      <c r="MH17" s="289"/>
      <c r="MI17" s="289"/>
      <c r="MJ17" s="289"/>
      <c r="MK17" s="289"/>
      <c r="ML17" s="289"/>
      <c r="MM17" s="289"/>
      <c r="MN17" s="289"/>
      <c r="MO17" s="289"/>
      <c r="MP17" s="289"/>
      <c r="MQ17" s="289"/>
      <c r="MR17" s="289"/>
      <c r="MS17" s="289"/>
      <c r="MT17" s="289"/>
      <c r="MU17" s="289"/>
      <c r="MV17" s="289"/>
      <c r="MW17" s="289"/>
      <c r="MX17" s="289"/>
      <c r="MY17" s="289"/>
      <c r="MZ17" s="289"/>
      <c r="NA17" s="289"/>
      <c r="NB17" s="289"/>
      <c r="NC17" s="289"/>
      <c r="ND17" s="289"/>
      <c r="NE17" s="289"/>
      <c r="NF17" s="289"/>
      <c r="NG17" s="289"/>
      <c r="NH17" s="289"/>
      <c r="NI17" s="289"/>
      <c r="NJ17" s="289"/>
      <c r="NK17" s="289"/>
      <c r="NL17" s="289"/>
      <c r="NM17" s="289"/>
      <c r="NN17" s="289"/>
      <c r="NO17" s="289"/>
      <c r="NP17" s="289"/>
      <c r="NQ17" s="289"/>
      <c r="NR17" s="289"/>
      <c r="NS17" s="289"/>
      <c r="NT17" s="289"/>
      <c r="NU17" s="289"/>
      <c r="NV17" s="289"/>
      <c r="NW17" s="289"/>
      <c r="NX17" s="289"/>
      <c r="NY17" s="289"/>
      <c r="NZ17" s="289"/>
      <c r="OA17" s="289"/>
      <c r="OB17" s="289"/>
      <c r="OC17" s="289"/>
      <c r="OD17" s="289"/>
      <c r="OE17" s="289"/>
      <c r="OF17" s="289"/>
      <c r="OG17" s="289"/>
      <c r="OH17" s="289"/>
      <c r="OI17" s="289"/>
      <c r="OJ17" s="289"/>
      <c r="OK17" s="289"/>
      <c r="OL17" s="289"/>
      <c r="OM17" s="289"/>
      <c r="ON17" s="289"/>
      <c r="OO17" s="289"/>
      <c r="OP17" s="289"/>
      <c r="OQ17" s="289"/>
      <c r="OR17" s="289"/>
      <c r="OS17" s="289"/>
      <c r="OT17" s="289"/>
      <c r="OU17" s="289"/>
      <c r="OV17" s="289"/>
      <c r="OW17" s="289"/>
      <c r="OX17" s="289"/>
      <c r="OY17" s="289"/>
      <c r="OZ17" s="289"/>
      <c r="PA17" s="289"/>
      <c r="PB17" s="289"/>
      <c r="PC17" s="289"/>
      <c r="PD17" s="289"/>
      <c r="PE17" s="289"/>
      <c r="PF17" s="289"/>
      <c r="PG17" s="289"/>
      <c r="PH17" s="289"/>
      <c r="PI17" s="289"/>
      <c r="PJ17" s="289"/>
      <c r="PK17" s="289"/>
      <c r="PL17" s="289"/>
      <c r="PM17" s="289"/>
      <c r="PN17" s="289"/>
      <c r="PO17" s="289"/>
      <c r="PP17" s="289"/>
      <c r="PQ17" s="289"/>
      <c r="PR17" s="289"/>
      <c r="PS17" s="289"/>
      <c r="PT17" s="289"/>
      <c r="PU17" s="289"/>
      <c r="PV17" s="289"/>
      <c r="PW17" s="289"/>
      <c r="PX17" s="289"/>
      <c r="PY17" s="289"/>
      <c r="PZ17" s="289"/>
      <c r="QA17" s="289"/>
      <c r="QB17" s="289"/>
      <c r="QC17" s="289"/>
      <c r="QD17" s="289"/>
      <c r="QE17" s="289"/>
      <c r="QF17" s="289"/>
      <c r="QG17" s="289"/>
      <c r="QH17" s="289"/>
      <c r="QI17" s="289"/>
      <c r="QJ17" s="289"/>
      <c r="QK17" s="289"/>
      <c r="QL17" s="289"/>
      <c r="QM17" s="289"/>
      <c r="QN17" s="289"/>
      <c r="QO17" s="289"/>
      <c r="QP17" s="289"/>
      <c r="QQ17" s="289"/>
      <c r="QR17" s="289"/>
      <c r="QS17" s="289"/>
      <c r="QT17" s="289"/>
      <c r="QU17" s="289"/>
      <c r="QV17" s="289"/>
      <c r="QW17" s="289"/>
      <c r="QX17" s="289"/>
      <c r="QY17" s="289"/>
      <c r="QZ17" s="289"/>
      <c r="RA17" s="289"/>
      <c r="RB17" s="289"/>
      <c r="RC17" s="289"/>
      <c r="RD17" s="289"/>
      <c r="RE17" s="289"/>
      <c r="RF17" s="289"/>
      <c r="RG17" s="289"/>
      <c r="RH17" s="289"/>
      <c r="RI17" s="289"/>
      <c r="RJ17" s="289"/>
      <c r="RK17" s="289"/>
      <c r="RL17" s="289"/>
      <c r="RM17" s="289"/>
      <c r="RN17" s="289"/>
      <c r="RO17" s="289"/>
      <c r="RP17" s="289"/>
      <c r="RQ17" s="289"/>
      <c r="RR17" s="289"/>
      <c r="RS17" s="289"/>
      <c r="RT17" s="289"/>
      <c r="RU17" s="289"/>
      <c r="RV17" s="289"/>
      <c r="RW17" s="289"/>
      <c r="RX17" s="289"/>
      <c r="RY17" s="289"/>
      <c r="RZ17" s="289"/>
      <c r="SA17" s="289"/>
      <c r="SB17" s="289"/>
      <c r="SC17" s="289"/>
      <c r="SD17" s="289"/>
      <c r="SE17" s="289"/>
      <c r="SF17" s="289"/>
      <c r="SG17" s="289"/>
      <c r="SH17" s="289"/>
      <c r="SI17" s="289"/>
      <c r="SJ17" s="289"/>
      <c r="SK17" s="289"/>
      <c r="SL17" s="289"/>
      <c r="SM17" s="289"/>
      <c r="SN17" s="289"/>
      <c r="SO17" s="289"/>
      <c r="SP17" s="289"/>
      <c r="SQ17" s="289"/>
      <c r="SR17" s="289"/>
      <c r="SS17" s="289"/>
      <c r="ST17" s="289"/>
      <c r="SU17" s="289"/>
      <c r="SV17" s="289"/>
      <c r="SW17" s="289"/>
      <c r="SX17" s="289"/>
      <c r="SY17" s="289"/>
      <c r="SZ17" s="289"/>
      <c r="TA17" s="289"/>
      <c r="TB17" s="289"/>
      <c r="TC17" s="289"/>
      <c r="TD17" s="289"/>
      <c r="TE17" s="289"/>
      <c r="TF17" s="289"/>
      <c r="TG17" s="289"/>
      <c r="TH17" s="289"/>
      <c r="TI17" s="289"/>
      <c r="TJ17" s="289"/>
      <c r="TK17" s="289"/>
      <c r="TL17" s="289"/>
      <c r="TM17" s="289"/>
      <c r="TN17" s="289"/>
      <c r="TO17" s="289"/>
      <c r="TP17" s="289"/>
      <c r="TQ17" s="289"/>
      <c r="TR17" s="289"/>
      <c r="TS17" s="289"/>
      <c r="TT17" s="289"/>
      <c r="TU17" s="289"/>
      <c r="TV17" s="289"/>
      <c r="TW17" s="289"/>
      <c r="TX17" s="289"/>
      <c r="TY17" s="289"/>
      <c r="TZ17" s="289"/>
      <c r="UA17" s="289"/>
      <c r="UB17" s="289"/>
      <c r="UC17" s="289"/>
      <c r="UD17" s="289"/>
      <c r="UE17" s="289"/>
      <c r="UF17" s="289"/>
      <c r="UG17" s="289"/>
      <c r="UH17" s="289"/>
      <c r="UI17" s="289"/>
      <c r="UJ17" s="289"/>
      <c r="UK17" s="289"/>
      <c r="UL17" s="289"/>
      <c r="UM17" s="289"/>
      <c r="UN17" s="289"/>
      <c r="UO17" s="289"/>
      <c r="UP17" s="289"/>
      <c r="UQ17" s="289"/>
      <c r="UR17" s="289"/>
      <c r="US17" s="289"/>
      <c r="UT17" s="289"/>
      <c r="UU17" s="289"/>
      <c r="UV17" s="289"/>
      <c r="UW17" s="289"/>
      <c r="UX17" s="289"/>
      <c r="UY17" s="289"/>
      <c r="UZ17" s="289"/>
      <c r="VA17" s="289"/>
      <c r="VB17" s="289"/>
      <c r="VC17" s="289"/>
      <c r="VD17" s="289"/>
      <c r="VE17" s="289"/>
      <c r="VF17" s="289"/>
      <c r="VG17" s="289"/>
      <c r="VH17" s="289"/>
      <c r="VI17" s="289"/>
      <c r="VJ17" s="289"/>
      <c r="VK17" s="289"/>
      <c r="VL17" s="289"/>
      <c r="VM17" s="289"/>
      <c r="VN17" s="289"/>
      <c r="VO17" s="289"/>
      <c r="VP17" s="289"/>
      <c r="VQ17" s="289"/>
      <c r="VR17" s="289"/>
      <c r="VS17" s="289"/>
      <c r="VT17" s="289"/>
      <c r="VU17" s="289"/>
      <c r="VV17" s="289"/>
      <c r="VW17" s="289"/>
      <c r="VX17" s="289"/>
      <c r="VY17" s="289"/>
      <c r="VZ17" s="289"/>
      <c r="WA17" s="289"/>
      <c r="WB17" s="289"/>
      <c r="WC17" s="289"/>
      <c r="WD17" s="289"/>
      <c r="WE17" s="289"/>
      <c r="WF17" s="289"/>
      <c r="WG17" s="289"/>
      <c r="WH17" s="289"/>
      <c r="WI17" s="289"/>
      <c r="WJ17" s="289"/>
      <c r="WK17" s="289"/>
      <c r="WL17" s="289"/>
      <c r="WM17" s="289"/>
      <c r="WN17" s="289"/>
      <c r="WO17" s="289"/>
      <c r="WP17" s="289"/>
      <c r="WQ17" s="289"/>
      <c r="WR17" s="289"/>
      <c r="WS17" s="289"/>
      <c r="WT17" s="289"/>
      <c r="WU17" s="289"/>
      <c r="WV17" s="289"/>
      <c r="WW17" s="289"/>
      <c r="WX17" s="289"/>
      <c r="WY17" s="289"/>
      <c r="WZ17" s="289"/>
      <c r="XA17" s="289"/>
      <c r="XB17" s="289"/>
      <c r="XC17" s="289"/>
      <c r="XD17" s="289"/>
      <c r="XE17" s="289"/>
      <c r="XF17" s="289"/>
      <c r="XG17" s="289"/>
      <c r="XH17" s="289"/>
      <c r="XI17" s="289"/>
      <c r="XJ17" s="289"/>
      <c r="XK17" s="289"/>
      <c r="XL17" s="289"/>
      <c r="XM17" s="289"/>
      <c r="XN17" s="289"/>
      <c r="XO17" s="289"/>
      <c r="XP17" s="289"/>
      <c r="XQ17" s="289"/>
      <c r="XR17" s="289"/>
      <c r="XS17" s="289"/>
      <c r="XT17" s="289"/>
      <c r="XU17" s="289"/>
      <c r="XV17" s="289"/>
      <c r="XW17" s="289"/>
      <c r="XX17" s="289"/>
      <c r="XY17" s="289"/>
      <c r="XZ17" s="289"/>
      <c r="YA17" s="289"/>
      <c r="YB17" s="289"/>
      <c r="YC17" s="289"/>
      <c r="YD17" s="289"/>
      <c r="YE17" s="289"/>
      <c r="YF17" s="289"/>
      <c r="YG17" s="289"/>
      <c r="YH17" s="289"/>
      <c r="YI17" s="289"/>
      <c r="YJ17" s="289"/>
      <c r="YK17" s="289"/>
      <c r="YL17" s="289"/>
      <c r="YM17" s="289"/>
      <c r="YN17" s="289"/>
      <c r="YO17" s="289"/>
      <c r="YP17" s="289"/>
      <c r="YQ17" s="289"/>
      <c r="YR17" s="289"/>
      <c r="YS17" s="289"/>
      <c r="YT17" s="289"/>
      <c r="YU17" s="289"/>
      <c r="YV17" s="289"/>
      <c r="YW17" s="289"/>
      <c r="YX17" s="289"/>
      <c r="YY17" s="289"/>
      <c r="YZ17" s="289"/>
      <c r="ZA17" s="289"/>
      <c r="ZB17" s="289"/>
      <c r="ZC17" s="289"/>
      <c r="ZD17" s="289"/>
      <c r="ZE17" s="289"/>
      <c r="ZF17" s="289"/>
      <c r="ZG17" s="289"/>
      <c r="ZH17" s="289"/>
      <c r="ZI17" s="289"/>
      <c r="ZJ17" s="289"/>
      <c r="ZK17" s="289"/>
      <c r="ZL17" s="289"/>
      <c r="ZM17" s="289"/>
      <c r="ZN17" s="289"/>
      <c r="ZO17" s="289"/>
    </row>
    <row r="18" spans="1:691" s="289" customFormat="1" ht="15" customHeight="1" x14ac:dyDescent="0.25">
      <c r="A18" s="694" t="s">
        <v>7</v>
      </c>
      <c r="B18" s="695">
        <v>0</v>
      </c>
      <c r="C18" s="661">
        <v>0</v>
      </c>
      <c r="D18" s="696">
        <v>123</v>
      </c>
      <c r="E18" s="661">
        <v>993</v>
      </c>
      <c r="F18" s="661"/>
      <c r="G18" s="696">
        <v>82953</v>
      </c>
      <c r="H18" s="697" t="s">
        <v>17</v>
      </c>
      <c r="K18" s="409"/>
    </row>
    <row r="19" spans="1:691" s="290" customFormat="1" ht="15" customHeight="1" x14ac:dyDescent="0.25">
      <c r="A19" s="580" t="s">
        <v>8</v>
      </c>
      <c r="B19" s="581">
        <v>0</v>
      </c>
      <c r="C19" s="153">
        <v>0</v>
      </c>
      <c r="D19" s="582">
        <v>90</v>
      </c>
      <c r="E19" s="153">
        <v>459</v>
      </c>
      <c r="F19" s="153"/>
      <c r="G19" s="582">
        <v>21066</v>
      </c>
      <c r="H19" s="583" t="s">
        <v>18</v>
      </c>
      <c r="K19" s="40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  <c r="IX19" s="289"/>
      <c r="IY19" s="289"/>
      <c r="IZ19" s="289"/>
      <c r="JA19" s="289"/>
      <c r="JB19" s="289"/>
      <c r="JC19" s="289"/>
      <c r="JD19" s="289"/>
      <c r="JE19" s="289"/>
      <c r="JF19" s="289"/>
      <c r="JG19" s="289"/>
      <c r="JH19" s="289"/>
      <c r="JI19" s="289"/>
      <c r="JJ19" s="289"/>
      <c r="JK19" s="289"/>
      <c r="JL19" s="289"/>
      <c r="JM19" s="289"/>
      <c r="JN19" s="289"/>
      <c r="JO19" s="289"/>
      <c r="JP19" s="289"/>
      <c r="JQ19" s="289"/>
      <c r="JR19" s="289"/>
      <c r="JS19" s="289"/>
      <c r="JT19" s="289"/>
      <c r="JU19" s="289"/>
      <c r="JV19" s="289"/>
      <c r="JW19" s="289"/>
      <c r="JX19" s="289"/>
      <c r="JY19" s="289"/>
      <c r="JZ19" s="289"/>
      <c r="KA19" s="289"/>
      <c r="KB19" s="289"/>
      <c r="KC19" s="289"/>
      <c r="KD19" s="289"/>
      <c r="KE19" s="289"/>
      <c r="KF19" s="289"/>
      <c r="KG19" s="289"/>
      <c r="KH19" s="289"/>
      <c r="KI19" s="289"/>
      <c r="KJ19" s="289"/>
      <c r="KK19" s="289"/>
      <c r="KL19" s="289"/>
      <c r="KM19" s="289"/>
      <c r="KN19" s="289"/>
      <c r="KO19" s="289"/>
      <c r="KP19" s="289"/>
      <c r="KQ19" s="289"/>
      <c r="KR19" s="289"/>
      <c r="KS19" s="289"/>
      <c r="KT19" s="289"/>
      <c r="KU19" s="289"/>
      <c r="KV19" s="289"/>
      <c r="KW19" s="289"/>
      <c r="KX19" s="289"/>
      <c r="KY19" s="289"/>
      <c r="KZ19" s="289"/>
      <c r="LA19" s="289"/>
      <c r="LB19" s="289"/>
      <c r="LC19" s="289"/>
      <c r="LD19" s="289"/>
      <c r="LE19" s="289"/>
      <c r="LF19" s="289"/>
      <c r="LG19" s="289"/>
      <c r="LH19" s="289"/>
      <c r="LI19" s="289"/>
      <c r="LJ19" s="289"/>
      <c r="LK19" s="289"/>
      <c r="LL19" s="289"/>
      <c r="LM19" s="289"/>
      <c r="LN19" s="289"/>
      <c r="LO19" s="289"/>
      <c r="LP19" s="289"/>
      <c r="LQ19" s="289"/>
      <c r="LR19" s="289"/>
      <c r="LS19" s="289"/>
      <c r="LT19" s="289"/>
      <c r="LU19" s="289"/>
      <c r="LV19" s="289"/>
      <c r="LW19" s="289"/>
      <c r="LX19" s="289"/>
      <c r="LY19" s="289"/>
      <c r="LZ19" s="289"/>
      <c r="MA19" s="289"/>
      <c r="MB19" s="289"/>
      <c r="MC19" s="289"/>
      <c r="MD19" s="289"/>
      <c r="ME19" s="289"/>
      <c r="MF19" s="289"/>
      <c r="MG19" s="289"/>
      <c r="MH19" s="289"/>
      <c r="MI19" s="289"/>
      <c r="MJ19" s="289"/>
      <c r="MK19" s="289"/>
      <c r="ML19" s="289"/>
      <c r="MM19" s="289"/>
      <c r="MN19" s="289"/>
      <c r="MO19" s="289"/>
      <c r="MP19" s="289"/>
      <c r="MQ19" s="289"/>
      <c r="MR19" s="289"/>
      <c r="MS19" s="289"/>
      <c r="MT19" s="289"/>
      <c r="MU19" s="289"/>
      <c r="MV19" s="289"/>
      <c r="MW19" s="289"/>
      <c r="MX19" s="289"/>
      <c r="MY19" s="289"/>
      <c r="MZ19" s="289"/>
      <c r="NA19" s="289"/>
      <c r="NB19" s="289"/>
      <c r="NC19" s="289"/>
      <c r="ND19" s="289"/>
      <c r="NE19" s="289"/>
      <c r="NF19" s="289"/>
      <c r="NG19" s="289"/>
      <c r="NH19" s="289"/>
      <c r="NI19" s="289"/>
      <c r="NJ19" s="289"/>
      <c r="NK19" s="289"/>
      <c r="NL19" s="289"/>
      <c r="NM19" s="289"/>
      <c r="NN19" s="289"/>
      <c r="NO19" s="289"/>
      <c r="NP19" s="289"/>
      <c r="NQ19" s="289"/>
      <c r="NR19" s="289"/>
      <c r="NS19" s="289"/>
      <c r="NT19" s="289"/>
      <c r="NU19" s="289"/>
      <c r="NV19" s="289"/>
      <c r="NW19" s="289"/>
      <c r="NX19" s="289"/>
      <c r="NY19" s="289"/>
      <c r="NZ19" s="289"/>
      <c r="OA19" s="289"/>
      <c r="OB19" s="289"/>
      <c r="OC19" s="289"/>
      <c r="OD19" s="289"/>
      <c r="OE19" s="289"/>
      <c r="OF19" s="289"/>
      <c r="OG19" s="289"/>
      <c r="OH19" s="289"/>
      <c r="OI19" s="289"/>
      <c r="OJ19" s="289"/>
      <c r="OK19" s="289"/>
      <c r="OL19" s="289"/>
      <c r="OM19" s="289"/>
      <c r="ON19" s="289"/>
      <c r="OO19" s="289"/>
      <c r="OP19" s="289"/>
      <c r="OQ19" s="289"/>
      <c r="OR19" s="289"/>
      <c r="OS19" s="289"/>
      <c r="OT19" s="289"/>
      <c r="OU19" s="289"/>
      <c r="OV19" s="289"/>
      <c r="OW19" s="289"/>
      <c r="OX19" s="289"/>
      <c r="OY19" s="289"/>
      <c r="OZ19" s="289"/>
      <c r="PA19" s="289"/>
      <c r="PB19" s="289"/>
      <c r="PC19" s="289"/>
      <c r="PD19" s="289"/>
      <c r="PE19" s="289"/>
      <c r="PF19" s="289"/>
      <c r="PG19" s="289"/>
      <c r="PH19" s="289"/>
      <c r="PI19" s="289"/>
      <c r="PJ19" s="289"/>
      <c r="PK19" s="289"/>
      <c r="PL19" s="289"/>
      <c r="PM19" s="289"/>
      <c r="PN19" s="289"/>
      <c r="PO19" s="289"/>
      <c r="PP19" s="289"/>
      <c r="PQ19" s="289"/>
      <c r="PR19" s="289"/>
      <c r="PS19" s="289"/>
      <c r="PT19" s="289"/>
      <c r="PU19" s="289"/>
      <c r="PV19" s="289"/>
      <c r="PW19" s="289"/>
      <c r="PX19" s="289"/>
      <c r="PY19" s="289"/>
      <c r="PZ19" s="289"/>
      <c r="QA19" s="289"/>
      <c r="QB19" s="289"/>
      <c r="QC19" s="289"/>
      <c r="QD19" s="289"/>
      <c r="QE19" s="289"/>
      <c r="QF19" s="289"/>
      <c r="QG19" s="289"/>
      <c r="QH19" s="289"/>
      <c r="QI19" s="289"/>
      <c r="QJ19" s="289"/>
      <c r="QK19" s="289"/>
      <c r="QL19" s="289"/>
      <c r="QM19" s="289"/>
      <c r="QN19" s="289"/>
      <c r="QO19" s="289"/>
      <c r="QP19" s="289"/>
      <c r="QQ19" s="289"/>
      <c r="QR19" s="289"/>
      <c r="QS19" s="289"/>
      <c r="QT19" s="289"/>
      <c r="QU19" s="289"/>
      <c r="QV19" s="289"/>
      <c r="QW19" s="289"/>
      <c r="QX19" s="289"/>
      <c r="QY19" s="289"/>
      <c r="QZ19" s="289"/>
      <c r="RA19" s="289"/>
      <c r="RB19" s="289"/>
      <c r="RC19" s="289"/>
      <c r="RD19" s="289"/>
      <c r="RE19" s="289"/>
      <c r="RF19" s="289"/>
      <c r="RG19" s="289"/>
      <c r="RH19" s="289"/>
      <c r="RI19" s="289"/>
      <c r="RJ19" s="289"/>
      <c r="RK19" s="289"/>
      <c r="RL19" s="289"/>
      <c r="RM19" s="289"/>
      <c r="RN19" s="289"/>
      <c r="RO19" s="289"/>
      <c r="RP19" s="289"/>
      <c r="RQ19" s="289"/>
      <c r="RR19" s="289"/>
      <c r="RS19" s="289"/>
      <c r="RT19" s="289"/>
      <c r="RU19" s="289"/>
      <c r="RV19" s="289"/>
      <c r="RW19" s="289"/>
      <c r="RX19" s="289"/>
      <c r="RY19" s="289"/>
      <c r="RZ19" s="289"/>
      <c r="SA19" s="289"/>
      <c r="SB19" s="289"/>
      <c r="SC19" s="289"/>
      <c r="SD19" s="289"/>
      <c r="SE19" s="289"/>
      <c r="SF19" s="289"/>
      <c r="SG19" s="289"/>
      <c r="SH19" s="289"/>
      <c r="SI19" s="289"/>
      <c r="SJ19" s="289"/>
      <c r="SK19" s="289"/>
      <c r="SL19" s="289"/>
      <c r="SM19" s="289"/>
      <c r="SN19" s="289"/>
      <c r="SO19" s="289"/>
      <c r="SP19" s="289"/>
      <c r="SQ19" s="289"/>
      <c r="SR19" s="289"/>
      <c r="SS19" s="289"/>
      <c r="ST19" s="289"/>
      <c r="SU19" s="289"/>
      <c r="SV19" s="289"/>
      <c r="SW19" s="289"/>
      <c r="SX19" s="289"/>
      <c r="SY19" s="289"/>
      <c r="SZ19" s="289"/>
      <c r="TA19" s="289"/>
      <c r="TB19" s="289"/>
      <c r="TC19" s="289"/>
      <c r="TD19" s="289"/>
      <c r="TE19" s="289"/>
      <c r="TF19" s="289"/>
      <c r="TG19" s="289"/>
      <c r="TH19" s="289"/>
      <c r="TI19" s="289"/>
      <c r="TJ19" s="289"/>
      <c r="TK19" s="289"/>
      <c r="TL19" s="289"/>
      <c r="TM19" s="289"/>
      <c r="TN19" s="289"/>
      <c r="TO19" s="289"/>
      <c r="TP19" s="289"/>
      <c r="TQ19" s="289"/>
      <c r="TR19" s="289"/>
      <c r="TS19" s="289"/>
      <c r="TT19" s="289"/>
      <c r="TU19" s="289"/>
      <c r="TV19" s="289"/>
      <c r="TW19" s="289"/>
      <c r="TX19" s="289"/>
      <c r="TY19" s="289"/>
      <c r="TZ19" s="289"/>
      <c r="UA19" s="289"/>
      <c r="UB19" s="289"/>
      <c r="UC19" s="289"/>
      <c r="UD19" s="289"/>
      <c r="UE19" s="289"/>
      <c r="UF19" s="289"/>
      <c r="UG19" s="289"/>
      <c r="UH19" s="289"/>
      <c r="UI19" s="289"/>
      <c r="UJ19" s="289"/>
      <c r="UK19" s="289"/>
      <c r="UL19" s="289"/>
      <c r="UM19" s="289"/>
      <c r="UN19" s="289"/>
      <c r="UO19" s="289"/>
      <c r="UP19" s="289"/>
      <c r="UQ19" s="289"/>
      <c r="UR19" s="289"/>
      <c r="US19" s="289"/>
      <c r="UT19" s="289"/>
      <c r="UU19" s="289"/>
      <c r="UV19" s="289"/>
      <c r="UW19" s="289"/>
      <c r="UX19" s="289"/>
      <c r="UY19" s="289"/>
      <c r="UZ19" s="289"/>
      <c r="VA19" s="289"/>
      <c r="VB19" s="289"/>
      <c r="VC19" s="289"/>
      <c r="VD19" s="289"/>
      <c r="VE19" s="289"/>
      <c r="VF19" s="289"/>
      <c r="VG19" s="289"/>
      <c r="VH19" s="289"/>
      <c r="VI19" s="289"/>
      <c r="VJ19" s="289"/>
      <c r="VK19" s="289"/>
      <c r="VL19" s="289"/>
      <c r="VM19" s="289"/>
      <c r="VN19" s="289"/>
      <c r="VO19" s="289"/>
      <c r="VP19" s="289"/>
      <c r="VQ19" s="289"/>
      <c r="VR19" s="289"/>
      <c r="VS19" s="289"/>
      <c r="VT19" s="289"/>
      <c r="VU19" s="289"/>
      <c r="VV19" s="289"/>
      <c r="VW19" s="289"/>
      <c r="VX19" s="289"/>
      <c r="VY19" s="289"/>
      <c r="VZ19" s="289"/>
      <c r="WA19" s="289"/>
      <c r="WB19" s="289"/>
      <c r="WC19" s="289"/>
      <c r="WD19" s="289"/>
      <c r="WE19" s="289"/>
      <c r="WF19" s="289"/>
      <c r="WG19" s="289"/>
      <c r="WH19" s="289"/>
      <c r="WI19" s="289"/>
      <c r="WJ19" s="289"/>
      <c r="WK19" s="289"/>
      <c r="WL19" s="289"/>
      <c r="WM19" s="289"/>
      <c r="WN19" s="289"/>
      <c r="WO19" s="289"/>
      <c r="WP19" s="289"/>
      <c r="WQ19" s="289"/>
      <c r="WR19" s="289"/>
      <c r="WS19" s="289"/>
      <c r="WT19" s="289"/>
      <c r="WU19" s="289"/>
      <c r="WV19" s="289"/>
      <c r="WW19" s="289"/>
      <c r="WX19" s="289"/>
      <c r="WY19" s="289"/>
      <c r="WZ19" s="289"/>
      <c r="XA19" s="289"/>
      <c r="XB19" s="289"/>
      <c r="XC19" s="289"/>
      <c r="XD19" s="289"/>
      <c r="XE19" s="289"/>
      <c r="XF19" s="289"/>
      <c r="XG19" s="289"/>
      <c r="XH19" s="289"/>
      <c r="XI19" s="289"/>
      <c r="XJ19" s="289"/>
      <c r="XK19" s="289"/>
      <c r="XL19" s="289"/>
      <c r="XM19" s="289"/>
      <c r="XN19" s="289"/>
      <c r="XO19" s="289"/>
      <c r="XP19" s="289"/>
      <c r="XQ19" s="289"/>
      <c r="XR19" s="289"/>
      <c r="XS19" s="289"/>
      <c r="XT19" s="289"/>
      <c r="XU19" s="289"/>
      <c r="XV19" s="289"/>
      <c r="XW19" s="289"/>
      <c r="XX19" s="289"/>
      <c r="XY19" s="289"/>
      <c r="XZ19" s="289"/>
      <c r="YA19" s="289"/>
      <c r="YB19" s="289"/>
      <c r="YC19" s="289"/>
      <c r="YD19" s="289"/>
      <c r="YE19" s="289"/>
      <c r="YF19" s="289"/>
      <c r="YG19" s="289"/>
      <c r="YH19" s="289"/>
      <c r="YI19" s="289"/>
      <c r="YJ19" s="289"/>
      <c r="YK19" s="289"/>
      <c r="YL19" s="289"/>
      <c r="YM19" s="289"/>
      <c r="YN19" s="289"/>
      <c r="YO19" s="289"/>
      <c r="YP19" s="289"/>
      <c r="YQ19" s="289"/>
      <c r="YR19" s="289"/>
      <c r="YS19" s="289"/>
      <c r="YT19" s="289"/>
      <c r="YU19" s="289"/>
      <c r="YV19" s="289"/>
      <c r="YW19" s="289"/>
      <c r="YX19" s="289"/>
      <c r="YY19" s="289"/>
      <c r="YZ19" s="289"/>
      <c r="ZA19" s="289"/>
      <c r="ZB19" s="289"/>
      <c r="ZC19" s="289"/>
      <c r="ZD19" s="289"/>
      <c r="ZE19" s="289"/>
      <c r="ZF19" s="289"/>
      <c r="ZG19" s="289"/>
      <c r="ZH19" s="289"/>
      <c r="ZI19" s="289"/>
      <c r="ZJ19" s="289"/>
      <c r="ZK19" s="289"/>
      <c r="ZL19" s="289"/>
      <c r="ZM19" s="289"/>
      <c r="ZN19" s="289"/>
      <c r="ZO19" s="289"/>
    </row>
    <row r="20" spans="1:691" s="289" customFormat="1" ht="15" customHeight="1" x14ac:dyDescent="0.25">
      <c r="A20" s="522" t="s">
        <v>9</v>
      </c>
      <c r="B20" s="871">
        <v>0</v>
      </c>
      <c r="C20" s="76">
        <v>0</v>
      </c>
      <c r="D20" s="872">
        <v>43</v>
      </c>
      <c r="E20" s="76">
        <v>163</v>
      </c>
      <c r="F20" s="76"/>
      <c r="G20" s="872">
        <v>16881</v>
      </c>
      <c r="H20" s="493" t="s">
        <v>19</v>
      </c>
      <c r="K20" s="409"/>
    </row>
    <row r="21" spans="1:691" s="290" customFormat="1" ht="15" customHeight="1" x14ac:dyDescent="0.25">
      <c r="A21" s="580" t="s">
        <v>10</v>
      </c>
      <c r="B21" s="581">
        <v>0</v>
      </c>
      <c r="C21" s="581">
        <v>0</v>
      </c>
      <c r="D21" s="582">
        <v>60</v>
      </c>
      <c r="E21" s="153">
        <v>351</v>
      </c>
      <c r="F21" s="153"/>
      <c r="G21" s="582">
        <v>24067</v>
      </c>
      <c r="H21" s="583" t="s">
        <v>20</v>
      </c>
      <c r="K21" s="40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  <c r="IX21" s="289"/>
      <c r="IY21" s="289"/>
      <c r="IZ21" s="289"/>
      <c r="JA21" s="289"/>
      <c r="JB21" s="289"/>
      <c r="JC21" s="289"/>
      <c r="JD21" s="289"/>
      <c r="JE21" s="289"/>
      <c r="JF21" s="289"/>
      <c r="JG21" s="289"/>
      <c r="JH21" s="289"/>
      <c r="JI21" s="289"/>
      <c r="JJ21" s="289"/>
      <c r="JK21" s="289"/>
      <c r="JL21" s="289"/>
      <c r="JM21" s="289"/>
      <c r="JN21" s="289"/>
      <c r="JO21" s="289"/>
      <c r="JP21" s="289"/>
      <c r="JQ21" s="289"/>
      <c r="JR21" s="289"/>
      <c r="JS21" s="289"/>
      <c r="JT21" s="289"/>
      <c r="JU21" s="289"/>
      <c r="JV21" s="289"/>
      <c r="JW21" s="289"/>
      <c r="JX21" s="289"/>
      <c r="JY21" s="289"/>
      <c r="JZ21" s="289"/>
      <c r="KA21" s="289"/>
      <c r="KB21" s="289"/>
      <c r="KC21" s="289"/>
      <c r="KD21" s="289"/>
      <c r="KE21" s="289"/>
      <c r="KF21" s="289"/>
      <c r="KG21" s="289"/>
      <c r="KH21" s="289"/>
      <c r="KI21" s="289"/>
      <c r="KJ21" s="289"/>
      <c r="KK21" s="289"/>
      <c r="KL21" s="289"/>
      <c r="KM21" s="289"/>
      <c r="KN21" s="289"/>
      <c r="KO21" s="289"/>
      <c r="KP21" s="289"/>
      <c r="KQ21" s="289"/>
      <c r="KR21" s="289"/>
      <c r="KS21" s="289"/>
      <c r="KT21" s="289"/>
      <c r="KU21" s="289"/>
      <c r="KV21" s="289"/>
      <c r="KW21" s="289"/>
      <c r="KX21" s="289"/>
      <c r="KY21" s="289"/>
      <c r="KZ21" s="289"/>
      <c r="LA21" s="289"/>
      <c r="LB21" s="289"/>
      <c r="LC21" s="289"/>
      <c r="LD21" s="289"/>
      <c r="LE21" s="289"/>
      <c r="LF21" s="289"/>
      <c r="LG21" s="289"/>
      <c r="LH21" s="289"/>
      <c r="LI21" s="289"/>
      <c r="LJ21" s="289"/>
      <c r="LK21" s="289"/>
      <c r="LL21" s="289"/>
      <c r="LM21" s="289"/>
      <c r="LN21" s="289"/>
      <c r="LO21" s="289"/>
      <c r="LP21" s="289"/>
      <c r="LQ21" s="289"/>
      <c r="LR21" s="289"/>
      <c r="LS21" s="289"/>
      <c r="LT21" s="289"/>
      <c r="LU21" s="289"/>
      <c r="LV21" s="289"/>
      <c r="LW21" s="289"/>
      <c r="LX21" s="289"/>
      <c r="LY21" s="289"/>
      <c r="LZ21" s="289"/>
      <c r="MA21" s="289"/>
      <c r="MB21" s="289"/>
      <c r="MC21" s="289"/>
      <c r="MD21" s="289"/>
      <c r="ME21" s="289"/>
      <c r="MF21" s="289"/>
      <c r="MG21" s="289"/>
      <c r="MH21" s="289"/>
      <c r="MI21" s="289"/>
      <c r="MJ21" s="289"/>
      <c r="MK21" s="289"/>
      <c r="ML21" s="289"/>
      <c r="MM21" s="289"/>
      <c r="MN21" s="289"/>
      <c r="MO21" s="289"/>
      <c r="MP21" s="289"/>
      <c r="MQ21" s="289"/>
      <c r="MR21" s="289"/>
      <c r="MS21" s="289"/>
      <c r="MT21" s="289"/>
      <c r="MU21" s="289"/>
      <c r="MV21" s="289"/>
      <c r="MW21" s="289"/>
      <c r="MX21" s="289"/>
      <c r="MY21" s="289"/>
      <c r="MZ21" s="289"/>
      <c r="NA21" s="289"/>
      <c r="NB21" s="289"/>
      <c r="NC21" s="289"/>
      <c r="ND21" s="289"/>
      <c r="NE21" s="289"/>
      <c r="NF21" s="289"/>
      <c r="NG21" s="289"/>
      <c r="NH21" s="289"/>
      <c r="NI21" s="289"/>
      <c r="NJ21" s="289"/>
      <c r="NK21" s="289"/>
      <c r="NL21" s="289"/>
      <c r="NM21" s="289"/>
      <c r="NN21" s="289"/>
      <c r="NO21" s="289"/>
      <c r="NP21" s="289"/>
      <c r="NQ21" s="289"/>
      <c r="NR21" s="289"/>
      <c r="NS21" s="289"/>
      <c r="NT21" s="289"/>
      <c r="NU21" s="289"/>
      <c r="NV21" s="289"/>
      <c r="NW21" s="289"/>
      <c r="NX21" s="289"/>
      <c r="NY21" s="289"/>
      <c r="NZ21" s="289"/>
      <c r="OA21" s="289"/>
      <c r="OB21" s="289"/>
      <c r="OC21" s="289"/>
      <c r="OD21" s="289"/>
      <c r="OE21" s="289"/>
      <c r="OF21" s="289"/>
      <c r="OG21" s="289"/>
      <c r="OH21" s="289"/>
      <c r="OI21" s="289"/>
      <c r="OJ21" s="289"/>
      <c r="OK21" s="289"/>
      <c r="OL21" s="289"/>
      <c r="OM21" s="289"/>
      <c r="ON21" s="289"/>
      <c r="OO21" s="289"/>
      <c r="OP21" s="289"/>
      <c r="OQ21" s="289"/>
      <c r="OR21" s="289"/>
      <c r="OS21" s="289"/>
      <c r="OT21" s="289"/>
      <c r="OU21" s="289"/>
      <c r="OV21" s="289"/>
      <c r="OW21" s="289"/>
      <c r="OX21" s="289"/>
      <c r="OY21" s="289"/>
      <c r="OZ21" s="289"/>
      <c r="PA21" s="289"/>
      <c r="PB21" s="289"/>
      <c r="PC21" s="289"/>
      <c r="PD21" s="289"/>
      <c r="PE21" s="289"/>
      <c r="PF21" s="289"/>
      <c r="PG21" s="289"/>
      <c r="PH21" s="289"/>
      <c r="PI21" s="289"/>
      <c r="PJ21" s="289"/>
      <c r="PK21" s="289"/>
      <c r="PL21" s="289"/>
      <c r="PM21" s="289"/>
      <c r="PN21" s="289"/>
      <c r="PO21" s="289"/>
      <c r="PP21" s="289"/>
      <c r="PQ21" s="289"/>
      <c r="PR21" s="289"/>
      <c r="PS21" s="289"/>
      <c r="PT21" s="289"/>
      <c r="PU21" s="289"/>
      <c r="PV21" s="289"/>
      <c r="PW21" s="289"/>
      <c r="PX21" s="289"/>
      <c r="PY21" s="289"/>
      <c r="PZ21" s="289"/>
      <c r="QA21" s="289"/>
      <c r="QB21" s="289"/>
      <c r="QC21" s="289"/>
      <c r="QD21" s="289"/>
      <c r="QE21" s="289"/>
      <c r="QF21" s="289"/>
      <c r="QG21" s="289"/>
      <c r="QH21" s="289"/>
      <c r="QI21" s="289"/>
      <c r="QJ21" s="289"/>
      <c r="QK21" s="289"/>
      <c r="QL21" s="289"/>
      <c r="QM21" s="289"/>
      <c r="QN21" s="289"/>
      <c r="QO21" s="289"/>
      <c r="QP21" s="289"/>
      <c r="QQ21" s="289"/>
      <c r="QR21" s="289"/>
      <c r="QS21" s="289"/>
      <c r="QT21" s="289"/>
      <c r="QU21" s="289"/>
      <c r="QV21" s="289"/>
      <c r="QW21" s="289"/>
      <c r="QX21" s="289"/>
      <c r="QY21" s="289"/>
      <c r="QZ21" s="289"/>
      <c r="RA21" s="289"/>
      <c r="RB21" s="289"/>
      <c r="RC21" s="289"/>
      <c r="RD21" s="289"/>
      <c r="RE21" s="289"/>
      <c r="RF21" s="289"/>
      <c r="RG21" s="289"/>
      <c r="RH21" s="289"/>
      <c r="RI21" s="289"/>
      <c r="RJ21" s="289"/>
      <c r="RK21" s="289"/>
      <c r="RL21" s="289"/>
      <c r="RM21" s="289"/>
      <c r="RN21" s="289"/>
      <c r="RO21" s="289"/>
      <c r="RP21" s="289"/>
      <c r="RQ21" s="289"/>
      <c r="RR21" s="289"/>
      <c r="RS21" s="289"/>
      <c r="RT21" s="289"/>
      <c r="RU21" s="289"/>
      <c r="RV21" s="289"/>
      <c r="RW21" s="289"/>
      <c r="RX21" s="289"/>
      <c r="RY21" s="289"/>
      <c r="RZ21" s="289"/>
      <c r="SA21" s="289"/>
      <c r="SB21" s="289"/>
      <c r="SC21" s="289"/>
      <c r="SD21" s="289"/>
      <c r="SE21" s="289"/>
      <c r="SF21" s="289"/>
      <c r="SG21" s="289"/>
      <c r="SH21" s="289"/>
      <c r="SI21" s="289"/>
      <c r="SJ21" s="289"/>
      <c r="SK21" s="289"/>
      <c r="SL21" s="289"/>
      <c r="SM21" s="289"/>
      <c r="SN21" s="289"/>
      <c r="SO21" s="289"/>
      <c r="SP21" s="289"/>
      <c r="SQ21" s="289"/>
      <c r="SR21" s="289"/>
      <c r="SS21" s="289"/>
      <c r="ST21" s="289"/>
      <c r="SU21" s="289"/>
      <c r="SV21" s="289"/>
      <c r="SW21" s="289"/>
      <c r="SX21" s="289"/>
      <c r="SY21" s="289"/>
      <c r="SZ21" s="289"/>
      <c r="TA21" s="289"/>
      <c r="TB21" s="289"/>
      <c r="TC21" s="289"/>
      <c r="TD21" s="289"/>
      <c r="TE21" s="289"/>
      <c r="TF21" s="289"/>
      <c r="TG21" s="289"/>
      <c r="TH21" s="289"/>
      <c r="TI21" s="289"/>
      <c r="TJ21" s="289"/>
      <c r="TK21" s="289"/>
      <c r="TL21" s="289"/>
      <c r="TM21" s="289"/>
      <c r="TN21" s="289"/>
      <c r="TO21" s="289"/>
      <c r="TP21" s="289"/>
      <c r="TQ21" s="289"/>
      <c r="TR21" s="289"/>
      <c r="TS21" s="289"/>
      <c r="TT21" s="289"/>
      <c r="TU21" s="289"/>
      <c r="TV21" s="289"/>
      <c r="TW21" s="289"/>
      <c r="TX21" s="289"/>
      <c r="TY21" s="289"/>
      <c r="TZ21" s="289"/>
      <c r="UA21" s="289"/>
      <c r="UB21" s="289"/>
      <c r="UC21" s="289"/>
      <c r="UD21" s="289"/>
      <c r="UE21" s="289"/>
      <c r="UF21" s="289"/>
      <c r="UG21" s="289"/>
      <c r="UH21" s="289"/>
      <c r="UI21" s="289"/>
      <c r="UJ21" s="289"/>
      <c r="UK21" s="289"/>
      <c r="UL21" s="289"/>
      <c r="UM21" s="289"/>
      <c r="UN21" s="289"/>
      <c r="UO21" s="289"/>
      <c r="UP21" s="289"/>
      <c r="UQ21" s="289"/>
      <c r="UR21" s="289"/>
      <c r="US21" s="289"/>
      <c r="UT21" s="289"/>
      <c r="UU21" s="289"/>
      <c r="UV21" s="289"/>
      <c r="UW21" s="289"/>
      <c r="UX21" s="289"/>
      <c r="UY21" s="289"/>
      <c r="UZ21" s="289"/>
      <c r="VA21" s="289"/>
      <c r="VB21" s="289"/>
      <c r="VC21" s="289"/>
      <c r="VD21" s="289"/>
      <c r="VE21" s="289"/>
      <c r="VF21" s="289"/>
      <c r="VG21" s="289"/>
      <c r="VH21" s="289"/>
      <c r="VI21" s="289"/>
      <c r="VJ21" s="289"/>
      <c r="VK21" s="289"/>
      <c r="VL21" s="289"/>
      <c r="VM21" s="289"/>
      <c r="VN21" s="289"/>
      <c r="VO21" s="289"/>
      <c r="VP21" s="289"/>
      <c r="VQ21" s="289"/>
      <c r="VR21" s="289"/>
      <c r="VS21" s="289"/>
      <c r="VT21" s="289"/>
      <c r="VU21" s="289"/>
      <c r="VV21" s="289"/>
      <c r="VW21" s="289"/>
      <c r="VX21" s="289"/>
      <c r="VY21" s="289"/>
      <c r="VZ21" s="289"/>
      <c r="WA21" s="289"/>
      <c r="WB21" s="289"/>
      <c r="WC21" s="289"/>
      <c r="WD21" s="289"/>
      <c r="WE21" s="289"/>
      <c r="WF21" s="289"/>
      <c r="WG21" s="289"/>
      <c r="WH21" s="289"/>
      <c r="WI21" s="289"/>
      <c r="WJ21" s="289"/>
      <c r="WK21" s="289"/>
      <c r="WL21" s="289"/>
      <c r="WM21" s="289"/>
      <c r="WN21" s="289"/>
      <c r="WO21" s="289"/>
      <c r="WP21" s="289"/>
      <c r="WQ21" s="289"/>
      <c r="WR21" s="289"/>
      <c r="WS21" s="289"/>
      <c r="WT21" s="289"/>
      <c r="WU21" s="289"/>
      <c r="WV21" s="289"/>
      <c r="WW21" s="289"/>
      <c r="WX21" s="289"/>
      <c r="WY21" s="289"/>
      <c r="WZ21" s="289"/>
      <c r="XA21" s="289"/>
      <c r="XB21" s="289"/>
      <c r="XC21" s="289"/>
      <c r="XD21" s="289"/>
      <c r="XE21" s="289"/>
      <c r="XF21" s="289"/>
      <c r="XG21" s="289"/>
      <c r="XH21" s="289"/>
      <c r="XI21" s="289"/>
      <c r="XJ21" s="289"/>
      <c r="XK21" s="289"/>
      <c r="XL21" s="289"/>
      <c r="XM21" s="289"/>
      <c r="XN21" s="289"/>
      <c r="XO21" s="289"/>
      <c r="XP21" s="289"/>
      <c r="XQ21" s="289"/>
      <c r="XR21" s="289"/>
      <c r="XS21" s="289"/>
      <c r="XT21" s="289"/>
      <c r="XU21" s="289"/>
      <c r="XV21" s="289"/>
      <c r="XW21" s="289"/>
      <c r="XX21" s="289"/>
      <c r="XY21" s="289"/>
      <c r="XZ21" s="289"/>
      <c r="YA21" s="289"/>
      <c r="YB21" s="289"/>
      <c r="YC21" s="289"/>
      <c r="YD21" s="289"/>
      <c r="YE21" s="289"/>
      <c r="YF21" s="289"/>
      <c r="YG21" s="289"/>
      <c r="YH21" s="289"/>
      <c r="YI21" s="289"/>
      <c r="YJ21" s="289"/>
      <c r="YK21" s="289"/>
      <c r="YL21" s="289"/>
      <c r="YM21" s="289"/>
      <c r="YN21" s="289"/>
      <c r="YO21" s="289"/>
      <c r="YP21" s="289"/>
      <c r="YQ21" s="289"/>
      <c r="YR21" s="289"/>
      <c r="YS21" s="289"/>
      <c r="YT21" s="289"/>
      <c r="YU21" s="289"/>
      <c r="YV21" s="289"/>
      <c r="YW21" s="289"/>
      <c r="YX21" s="289"/>
      <c r="YY21" s="289"/>
      <c r="YZ21" s="289"/>
      <c r="ZA21" s="289"/>
      <c r="ZB21" s="289"/>
      <c r="ZC21" s="289"/>
      <c r="ZD21" s="289"/>
      <c r="ZE21" s="289"/>
      <c r="ZF21" s="289"/>
      <c r="ZG21" s="289"/>
      <c r="ZH21" s="289"/>
      <c r="ZI21" s="289"/>
      <c r="ZJ21" s="289"/>
      <c r="ZK21" s="289"/>
      <c r="ZL21" s="289"/>
      <c r="ZM21" s="289"/>
      <c r="ZN21" s="289"/>
      <c r="ZO21" s="289"/>
    </row>
    <row r="22" spans="1:691" s="289" customFormat="1" ht="15" customHeight="1" x14ac:dyDescent="0.25">
      <c r="A22" s="694" t="s">
        <v>12</v>
      </c>
      <c r="B22" s="695">
        <v>0</v>
      </c>
      <c r="C22" s="695">
        <v>0</v>
      </c>
      <c r="D22" s="696">
        <v>8</v>
      </c>
      <c r="E22" s="661">
        <v>47</v>
      </c>
      <c r="F22" s="661"/>
      <c r="G22" s="696">
        <v>4807</v>
      </c>
      <c r="H22" s="697" t="s">
        <v>25</v>
      </c>
      <c r="K22" s="409"/>
    </row>
    <row r="23" spans="1:691" s="324" customFormat="1" ht="15" customHeight="1" thickBot="1" x14ac:dyDescent="0.3">
      <c r="A23" s="580" t="s">
        <v>13</v>
      </c>
      <c r="B23" s="581">
        <v>0</v>
      </c>
      <c r="C23" s="581">
        <v>0</v>
      </c>
      <c r="D23" s="582">
        <v>49</v>
      </c>
      <c r="E23" s="153">
        <v>373</v>
      </c>
      <c r="F23" s="153"/>
      <c r="G23" s="582">
        <v>32976</v>
      </c>
      <c r="H23" s="583" t="s">
        <v>22</v>
      </c>
      <c r="K23" s="408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  <c r="IX23" s="395"/>
      <c r="IY23" s="395"/>
      <c r="IZ23" s="395"/>
      <c r="JA23" s="395"/>
      <c r="JB23" s="395"/>
      <c r="JC23" s="395"/>
      <c r="JD23" s="395"/>
      <c r="JE23" s="395"/>
      <c r="JF23" s="395"/>
      <c r="JG23" s="395"/>
      <c r="JH23" s="395"/>
      <c r="JI23" s="395"/>
      <c r="JJ23" s="395"/>
      <c r="JK23" s="395"/>
      <c r="JL23" s="395"/>
      <c r="JM23" s="395"/>
      <c r="JN23" s="395"/>
      <c r="JO23" s="395"/>
      <c r="JP23" s="395"/>
      <c r="JQ23" s="395"/>
      <c r="JR23" s="395"/>
      <c r="JS23" s="395"/>
      <c r="JT23" s="395"/>
      <c r="JU23" s="395"/>
      <c r="JV23" s="395"/>
      <c r="JW23" s="395"/>
      <c r="JX23" s="395"/>
      <c r="JY23" s="395"/>
      <c r="JZ23" s="395"/>
      <c r="KA23" s="395"/>
      <c r="KB23" s="395"/>
      <c r="KC23" s="395"/>
      <c r="KD23" s="395"/>
      <c r="KE23" s="395"/>
      <c r="KF23" s="395"/>
      <c r="KG23" s="395"/>
      <c r="KH23" s="395"/>
      <c r="KI23" s="395"/>
      <c r="KJ23" s="395"/>
      <c r="KK23" s="395"/>
      <c r="KL23" s="395"/>
      <c r="KM23" s="395"/>
      <c r="KN23" s="395"/>
      <c r="KO23" s="395"/>
      <c r="KP23" s="395"/>
      <c r="KQ23" s="395"/>
      <c r="KR23" s="395"/>
      <c r="KS23" s="395"/>
      <c r="KT23" s="395"/>
      <c r="KU23" s="395"/>
      <c r="KV23" s="395"/>
      <c r="KW23" s="395"/>
      <c r="KX23" s="395"/>
      <c r="KY23" s="395"/>
      <c r="KZ23" s="395"/>
      <c r="LA23" s="395"/>
      <c r="LB23" s="395"/>
      <c r="LC23" s="395"/>
      <c r="LD23" s="395"/>
      <c r="LE23" s="395"/>
      <c r="LF23" s="395"/>
      <c r="LG23" s="395"/>
      <c r="LH23" s="395"/>
      <c r="LI23" s="395"/>
      <c r="LJ23" s="395"/>
      <c r="LK23" s="395"/>
      <c r="LL23" s="395"/>
      <c r="LM23" s="395"/>
      <c r="LN23" s="395"/>
      <c r="LO23" s="395"/>
      <c r="LP23" s="395"/>
      <c r="LQ23" s="395"/>
      <c r="LR23" s="395"/>
      <c r="LS23" s="395"/>
      <c r="LT23" s="395"/>
      <c r="LU23" s="395"/>
      <c r="LV23" s="395"/>
      <c r="LW23" s="395"/>
      <c r="LX23" s="395"/>
      <c r="LY23" s="395"/>
      <c r="LZ23" s="395"/>
      <c r="MA23" s="395"/>
      <c r="MB23" s="395"/>
      <c r="MC23" s="395"/>
      <c r="MD23" s="395"/>
      <c r="ME23" s="395"/>
      <c r="MF23" s="395"/>
      <c r="MG23" s="395"/>
      <c r="MH23" s="395"/>
      <c r="MI23" s="395"/>
      <c r="MJ23" s="395"/>
      <c r="MK23" s="395"/>
      <c r="ML23" s="395"/>
      <c r="MM23" s="395"/>
      <c r="MN23" s="395"/>
      <c r="MO23" s="395"/>
      <c r="MP23" s="395"/>
      <c r="MQ23" s="395"/>
      <c r="MR23" s="395"/>
      <c r="MS23" s="395"/>
      <c r="MT23" s="395"/>
      <c r="MU23" s="395"/>
      <c r="MV23" s="395"/>
      <c r="MW23" s="395"/>
      <c r="MX23" s="395"/>
      <c r="MY23" s="395"/>
      <c r="MZ23" s="395"/>
      <c r="NA23" s="395"/>
      <c r="NB23" s="395"/>
      <c r="NC23" s="395"/>
      <c r="ND23" s="395"/>
      <c r="NE23" s="395"/>
      <c r="NF23" s="395"/>
      <c r="NG23" s="395"/>
      <c r="NH23" s="395"/>
      <c r="NI23" s="395"/>
      <c r="NJ23" s="395"/>
      <c r="NK23" s="395"/>
      <c r="NL23" s="395"/>
      <c r="NM23" s="395"/>
      <c r="NN23" s="395"/>
      <c r="NO23" s="395"/>
      <c r="NP23" s="395"/>
      <c r="NQ23" s="395"/>
      <c r="NR23" s="395"/>
      <c r="NS23" s="395"/>
      <c r="NT23" s="395"/>
      <c r="NU23" s="395"/>
      <c r="NV23" s="395"/>
      <c r="NW23" s="395"/>
      <c r="NX23" s="395"/>
      <c r="NY23" s="395"/>
      <c r="NZ23" s="395"/>
      <c r="OA23" s="395"/>
      <c r="OB23" s="395"/>
      <c r="OC23" s="395"/>
      <c r="OD23" s="395"/>
      <c r="OE23" s="395"/>
      <c r="OF23" s="395"/>
      <c r="OG23" s="395"/>
      <c r="OH23" s="395"/>
      <c r="OI23" s="395"/>
      <c r="OJ23" s="395"/>
      <c r="OK23" s="395"/>
      <c r="OL23" s="395"/>
      <c r="OM23" s="395"/>
      <c r="ON23" s="395"/>
      <c r="OO23" s="395"/>
      <c r="OP23" s="395"/>
      <c r="OQ23" s="395"/>
      <c r="OR23" s="395"/>
      <c r="OS23" s="395"/>
      <c r="OT23" s="395"/>
      <c r="OU23" s="395"/>
      <c r="OV23" s="395"/>
      <c r="OW23" s="395"/>
      <c r="OX23" s="395"/>
      <c r="OY23" s="395"/>
      <c r="OZ23" s="395"/>
      <c r="PA23" s="395"/>
      <c r="PB23" s="395"/>
      <c r="PC23" s="395"/>
      <c r="PD23" s="395"/>
      <c r="PE23" s="395"/>
      <c r="PF23" s="395"/>
      <c r="PG23" s="395"/>
      <c r="PH23" s="395"/>
      <c r="PI23" s="395"/>
      <c r="PJ23" s="395"/>
      <c r="PK23" s="395"/>
      <c r="PL23" s="395"/>
      <c r="PM23" s="395"/>
      <c r="PN23" s="395"/>
      <c r="PO23" s="395"/>
      <c r="PP23" s="395"/>
      <c r="PQ23" s="395"/>
      <c r="PR23" s="395"/>
      <c r="PS23" s="395"/>
      <c r="PT23" s="395"/>
      <c r="PU23" s="395"/>
      <c r="PV23" s="395"/>
      <c r="PW23" s="395"/>
      <c r="PX23" s="395"/>
      <c r="PY23" s="395"/>
      <c r="PZ23" s="395"/>
      <c r="QA23" s="395"/>
      <c r="QB23" s="395"/>
      <c r="QC23" s="395"/>
      <c r="QD23" s="395"/>
      <c r="QE23" s="395"/>
      <c r="QF23" s="395"/>
      <c r="QG23" s="395"/>
      <c r="QH23" s="395"/>
      <c r="QI23" s="395"/>
      <c r="QJ23" s="395"/>
      <c r="QK23" s="395"/>
      <c r="QL23" s="395"/>
      <c r="QM23" s="395"/>
      <c r="QN23" s="395"/>
      <c r="QO23" s="395"/>
      <c r="QP23" s="395"/>
      <c r="QQ23" s="395"/>
      <c r="QR23" s="395"/>
      <c r="QS23" s="395"/>
      <c r="QT23" s="395"/>
      <c r="QU23" s="395"/>
      <c r="QV23" s="395"/>
      <c r="QW23" s="395"/>
      <c r="QX23" s="395"/>
      <c r="QY23" s="395"/>
      <c r="QZ23" s="395"/>
      <c r="RA23" s="395"/>
      <c r="RB23" s="395"/>
      <c r="RC23" s="395"/>
      <c r="RD23" s="395"/>
      <c r="RE23" s="395"/>
      <c r="RF23" s="395"/>
      <c r="RG23" s="395"/>
      <c r="RH23" s="395"/>
      <c r="RI23" s="395"/>
      <c r="RJ23" s="395"/>
      <c r="RK23" s="395"/>
      <c r="RL23" s="395"/>
      <c r="RM23" s="395"/>
      <c r="RN23" s="395"/>
      <c r="RO23" s="395"/>
      <c r="RP23" s="395"/>
      <c r="RQ23" s="395"/>
      <c r="RR23" s="395"/>
      <c r="RS23" s="395"/>
      <c r="RT23" s="395"/>
      <c r="RU23" s="395"/>
      <c r="RV23" s="395"/>
      <c r="RW23" s="395"/>
      <c r="RX23" s="395"/>
      <c r="RY23" s="395"/>
      <c r="RZ23" s="395"/>
      <c r="SA23" s="395"/>
      <c r="SB23" s="395"/>
      <c r="SC23" s="395"/>
      <c r="SD23" s="395"/>
      <c r="SE23" s="395"/>
      <c r="SF23" s="395"/>
      <c r="SG23" s="395"/>
      <c r="SH23" s="395"/>
      <c r="SI23" s="395"/>
      <c r="SJ23" s="395"/>
      <c r="SK23" s="395"/>
      <c r="SL23" s="395"/>
      <c r="SM23" s="395"/>
      <c r="SN23" s="395"/>
      <c r="SO23" s="395"/>
      <c r="SP23" s="395"/>
      <c r="SQ23" s="395"/>
      <c r="SR23" s="395"/>
      <c r="SS23" s="395"/>
      <c r="ST23" s="395"/>
      <c r="SU23" s="395"/>
      <c r="SV23" s="395"/>
      <c r="SW23" s="395"/>
      <c r="SX23" s="395"/>
      <c r="SY23" s="395"/>
      <c r="SZ23" s="395"/>
      <c r="TA23" s="395"/>
      <c r="TB23" s="395"/>
      <c r="TC23" s="395"/>
      <c r="TD23" s="395"/>
      <c r="TE23" s="395"/>
      <c r="TF23" s="395"/>
      <c r="TG23" s="395"/>
      <c r="TH23" s="395"/>
      <c r="TI23" s="395"/>
      <c r="TJ23" s="395"/>
      <c r="TK23" s="395"/>
      <c r="TL23" s="395"/>
      <c r="TM23" s="395"/>
      <c r="TN23" s="395"/>
      <c r="TO23" s="395"/>
      <c r="TP23" s="395"/>
      <c r="TQ23" s="395"/>
      <c r="TR23" s="395"/>
      <c r="TS23" s="395"/>
      <c r="TT23" s="395"/>
      <c r="TU23" s="395"/>
      <c r="TV23" s="395"/>
      <c r="TW23" s="395"/>
      <c r="TX23" s="395"/>
      <c r="TY23" s="395"/>
      <c r="TZ23" s="395"/>
      <c r="UA23" s="395"/>
      <c r="UB23" s="395"/>
      <c r="UC23" s="395"/>
      <c r="UD23" s="395"/>
      <c r="UE23" s="395"/>
      <c r="UF23" s="395"/>
      <c r="UG23" s="395"/>
      <c r="UH23" s="395"/>
      <c r="UI23" s="395"/>
      <c r="UJ23" s="395"/>
      <c r="UK23" s="395"/>
      <c r="UL23" s="395"/>
      <c r="UM23" s="395"/>
      <c r="UN23" s="395"/>
      <c r="UO23" s="395"/>
      <c r="UP23" s="395"/>
      <c r="UQ23" s="395"/>
      <c r="UR23" s="395"/>
      <c r="US23" s="395"/>
      <c r="UT23" s="395"/>
      <c r="UU23" s="395"/>
      <c r="UV23" s="395"/>
      <c r="UW23" s="395"/>
      <c r="UX23" s="395"/>
      <c r="UY23" s="395"/>
      <c r="UZ23" s="395"/>
      <c r="VA23" s="395"/>
      <c r="VB23" s="395"/>
      <c r="VC23" s="395"/>
      <c r="VD23" s="395"/>
      <c r="VE23" s="395"/>
      <c r="VF23" s="395"/>
      <c r="VG23" s="395"/>
      <c r="VH23" s="395"/>
      <c r="VI23" s="395"/>
      <c r="VJ23" s="395"/>
      <c r="VK23" s="395"/>
      <c r="VL23" s="395"/>
      <c r="VM23" s="395"/>
      <c r="VN23" s="395"/>
      <c r="VO23" s="395"/>
      <c r="VP23" s="395"/>
      <c r="VQ23" s="395"/>
      <c r="VR23" s="395"/>
      <c r="VS23" s="395"/>
      <c r="VT23" s="395"/>
      <c r="VU23" s="395"/>
      <c r="VV23" s="395"/>
      <c r="VW23" s="395"/>
      <c r="VX23" s="395"/>
      <c r="VY23" s="395"/>
      <c r="VZ23" s="395"/>
      <c r="WA23" s="395"/>
      <c r="WB23" s="395"/>
      <c r="WC23" s="395"/>
      <c r="WD23" s="395"/>
      <c r="WE23" s="395"/>
      <c r="WF23" s="395"/>
      <c r="WG23" s="395"/>
      <c r="WH23" s="395"/>
      <c r="WI23" s="395"/>
      <c r="WJ23" s="395"/>
      <c r="WK23" s="395"/>
      <c r="WL23" s="395"/>
      <c r="WM23" s="395"/>
      <c r="WN23" s="395"/>
      <c r="WO23" s="395"/>
      <c r="WP23" s="395"/>
      <c r="WQ23" s="395"/>
      <c r="WR23" s="395"/>
      <c r="WS23" s="395"/>
      <c r="WT23" s="395"/>
      <c r="WU23" s="395"/>
      <c r="WV23" s="395"/>
      <c r="WW23" s="395"/>
      <c r="WX23" s="395"/>
      <c r="WY23" s="395"/>
      <c r="WZ23" s="395"/>
      <c r="XA23" s="395"/>
      <c r="XB23" s="395"/>
      <c r="XC23" s="395"/>
      <c r="XD23" s="395"/>
      <c r="XE23" s="395"/>
      <c r="XF23" s="395"/>
      <c r="XG23" s="395"/>
      <c r="XH23" s="395"/>
      <c r="XI23" s="395"/>
      <c r="XJ23" s="395"/>
      <c r="XK23" s="395"/>
      <c r="XL23" s="395"/>
      <c r="XM23" s="395"/>
      <c r="XN23" s="395"/>
      <c r="XO23" s="395"/>
      <c r="XP23" s="395"/>
      <c r="XQ23" s="395"/>
      <c r="XR23" s="395"/>
      <c r="XS23" s="395"/>
      <c r="XT23" s="395"/>
      <c r="XU23" s="395"/>
      <c r="XV23" s="395"/>
      <c r="XW23" s="395"/>
      <c r="XX23" s="395"/>
      <c r="XY23" s="395"/>
      <c r="XZ23" s="395"/>
      <c r="YA23" s="395"/>
      <c r="YB23" s="395"/>
      <c r="YC23" s="395"/>
      <c r="YD23" s="395"/>
      <c r="YE23" s="395"/>
      <c r="YF23" s="395"/>
      <c r="YG23" s="395"/>
      <c r="YH23" s="395"/>
      <c r="YI23" s="395"/>
      <c r="YJ23" s="395"/>
      <c r="YK23" s="395"/>
      <c r="YL23" s="395"/>
      <c r="YM23" s="395"/>
      <c r="YN23" s="395"/>
      <c r="YO23" s="395"/>
      <c r="YP23" s="395"/>
      <c r="YQ23" s="395"/>
      <c r="YR23" s="395"/>
      <c r="YS23" s="395"/>
      <c r="YT23" s="395"/>
      <c r="YU23" s="395"/>
      <c r="YV23" s="395"/>
      <c r="YW23" s="395"/>
      <c r="YX23" s="395"/>
      <c r="YY23" s="395"/>
      <c r="YZ23" s="395"/>
      <c r="ZA23" s="395"/>
      <c r="ZB23" s="395"/>
      <c r="ZC23" s="395"/>
      <c r="ZD23" s="395"/>
      <c r="ZE23" s="395"/>
      <c r="ZF23" s="395"/>
      <c r="ZG23" s="395"/>
      <c r="ZH23" s="395"/>
      <c r="ZI23" s="395"/>
      <c r="ZJ23" s="395"/>
      <c r="ZK23" s="395"/>
      <c r="ZL23" s="395"/>
      <c r="ZM23" s="395"/>
      <c r="ZN23" s="395"/>
      <c r="ZO23" s="395"/>
    </row>
    <row r="24" spans="1:691" s="395" customFormat="1" ht="17.25" customHeight="1" thickTop="1" thickBot="1" x14ac:dyDescent="0.25">
      <c r="A24" s="726" t="s">
        <v>0</v>
      </c>
      <c r="B24" s="727">
        <v>183</v>
      </c>
      <c r="C24" s="727">
        <f>SUM(C9:C23)</f>
        <v>9143</v>
      </c>
      <c r="D24" s="727">
        <v>1185</v>
      </c>
      <c r="E24" s="727">
        <v>7260</v>
      </c>
      <c r="F24" s="727"/>
      <c r="G24" s="727">
        <f>SUM(G9:G23)</f>
        <v>501959</v>
      </c>
      <c r="H24" s="776" t="s">
        <v>1</v>
      </c>
    </row>
    <row r="25" spans="1:691" ht="15" customHeight="1" thickTop="1" x14ac:dyDescent="0.2">
      <c r="B25" s="6"/>
      <c r="C25" s="6"/>
      <c r="D25" s="6"/>
      <c r="E25" s="73"/>
      <c r="F25" s="513"/>
      <c r="G25" s="5"/>
    </row>
    <row r="26" spans="1:691" ht="15" customHeight="1" x14ac:dyDescent="0.2">
      <c r="C26" t="s">
        <v>346</v>
      </c>
      <c r="D26" t="s">
        <v>347</v>
      </c>
      <c r="F26" s="73"/>
      <c r="H26" s="854"/>
    </row>
    <row r="27" spans="1:691" ht="14.25" x14ac:dyDescent="0.2">
      <c r="H27" s="186"/>
    </row>
    <row r="29" spans="1:691" x14ac:dyDescent="0.2">
      <c r="D29" t="s">
        <v>348</v>
      </c>
    </row>
    <row r="30" spans="1:691" x14ac:dyDescent="0.2">
      <c r="C30" t="s">
        <v>345</v>
      </c>
    </row>
    <row r="31" spans="1:691" x14ac:dyDescent="0.2">
      <c r="D31" t="s">
        <v>347</v>
      </c>
    </row>
    <row r="33" spans="4:4" x14ac:dyDescent="0.2">
      <c r="D33" t="s">
        <v>349</v>
      </c>
    </row>
  </sheetData>
  <mergeCells count="2">
    <mergeCell ref="A1:H1"/>
    <mergeCell ref="A2:H2"/>
  </mergeCells>
  <phoneticPr fontId="3" type="noConversion"/>
  <printOptions horizontalCentered="1" verticalCentered="1"/>
  <pageMargins left="0.6" right="1.7" top="1.82" bottom="0.98425196850393704" header="0.75" footer="0.511811023622047"/>
  <pageSetup scale="97" orientation="landscape" verticalDpi="300" r:id="rId1"/>
  <headerFooter alignWithMargins="0">
    <oddFooter>&amp;C36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R23" sqref="R23"/>
    </sheetView>
  </sheetViews>
  <sheetFormatPr defaultRowHeight="12.75" x14ac:dyDescent="0.2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0.91" right="0.97" top="1" bottom="1" header="0.5" footer="0.5"/>
  <pageSetup scale="95" orientation="landscape" horizontalDpi="4294967293" verticalDpi="1200" r:id="rId1"/>
  <headerFooter alignWithMargins="0">
    <oddFooter>&amp;C37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B41" sqref="B41"/>
    </sheetView>
  </sheetViews>
  <sheetFormatPr defaultRowHeight="12.75" x14ac:dyDescent="0.2"/>
  <sheetData/>
  <phoneticPr fontId="3" type="noConversion"/>
  <printOptions horizontalCentered="1" verticalCentered="1"/>
  <pageMargins left="0.74803149606299213" right="0.74803149606299213" top="0.98425196850393704" bottom="1.0900000000000001" header="0.51181102362204722" footer="0.51181102362204722"/>
  <pageSetup scale="95" orientation="landscape" horizontalDpi="4294967293" verticalDpi="1200" r:id="rId1"/>
  <headerFooter alignWithMargins="0">
    <oddFooter>&amp;C11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28"/>
  <sheetViews>
    <sheetView rightToLeft="1" zoomScaleSheetLayoutView="100" workbookViewId="0">
      <selection activeCell="K30" sqref="K30"/>
    </sheetView>
  </sheetViews>
  <sheetFormatPr defaultRowHeight="12.75" x14ac:dyDescent="0.2"/>
  <cols>
    <col min="1" max="1" width="11.85546875" customWidth="1"/>
    <col min="2" max="2" width="11.140625" customWidth="1"/>
    <col min="3" max="3" width="15" customWidth="1"/>
    <col min="4" max="4" width="12.85546875" customWidth="1"/>
    <col min="5" max="5" width="16.140625" customWidth="1"/>
    <col min="6" max="6" width="16" customWidth="1"/>
    <col min="7" max="7" width="16.42578125" customWidth="1"/>
    <col min="8" max="8" width="3.42578125" customWidth="1"/>
  </cols>
  <sheetData>
    <row r="1" spans="1:7" ht="15" x14ac:dyDescent="0.2">
      <c r="A1" s="903" t="s">
        <v>444</v>
      </c>
      <c r="B1" s="903"/>
      <c r="C1" s="903"/>
      <c r="D1" s="903"/>
      <c r="E1" s="903"/>
      <c r="F1" s="903"/>
      <c r="G1" s="903"/>
    </row>
    <row r="2" spans="1:7" ht="30.75" customHeight="1" x14ac:dyDescent="0.2">
      <c r="A2" s="911" t="s">
        <v>448</v>
      </c>
      <c r="B2" s="911"/>
      <c r="C2" s="911"/>
      <c r="D2" s="911"/>
      <c r="E2" s="911"/>
      <c r="F2" s="911"/>
      <c r="G2" s="911"/>
    </row>
    <row r="3" spans="1:7" s="6" customFormat="1" ht="13.5" customHeight="1" x14ac:dyDescent="0.25">
      <c r="A3" s="205"/>
      <c r="B3" s="205"/>
      <c r="C3" s="205"/>
      <c r="D3" s="205"/>
      <c r="E3" s="205"/>
      <c r="F3" s="926" t="s">
        <v>477</v>
      </c>
      <c r="G3" s="926"/>
    </row>
    <row r="4" spans="1:7" ht="32.25" customHeight="1" thickBot="1" x14ac:dyDescent="0.3">
      <c r="A4" s="912" t="s">
        <v>490</v>
      </c>
      <c r="B4" s="912"/>
      <c r="C4" s="912"/>
      <c r="D4" s="49"/>
      <c r="E4" s="24"/>
      <c r="F4" s="163" t="s">
        <v>147</v>
      </c>
      <c r="G4" s="223" t="s">
        <v>318</v>
      </c>
    </row>
    <row r="5" spans="1:7" ht="15" customHeight="1" x14ac:dyDescent="0.25">
      <c r="A5" s="8"/>
      <c r="B5" s="36" t="s">
        <v>223</v>
      </c>
      <c r="C5" s="36"/>
      <c r="D5" s="116" t="s">
        <v>98</v>
      </c>
      <c r="E5" s="36"/>
      <c r="F5" s="881"/>
      <c r="G5" s="8"/>
    </row>
    <row r="6" spans="1:7" s="151" customFormat="1" ht="15" customHeight="1" x14ac:dyDescent="0.25">
      <c r="A6" s="838"/>
      <c r="B6" s="835" t="s">
        <v>241</v>
      </c>
      <c r="C6" s="835"/>
      <c r="D6" s="835" t="s">
        <v>277</v>
      </c>
      <c r="E6" s="835"/>
      <c r="F6" s="836"/>
      <c r="G6" s="838"/>
    </row>
    <row r="7" spans="1:7" s="325" customFormat="1" ht="16.5" customHeight="1" thickBot="1" x14ac:dyDescent="0.25">
      <c r="A7" s="320"/>
      <c r="B7" s="312" t="s">
        <v>42</v>
      </c>
      <c r="C7" s="312" t="s">
        <v>225</v>
      </c>
      <c r="D7" s="312" t="s">
        <v>99</v>
      </c>
      <c r="E7" s="312" t="s">
        <v>224</v>
      </c>
      <c r="F7" s="312" t="s">
        <v>224</v>
      </c>
      <c r="G7" s="320"/>
    </row>
    <row r="8" spans="1:7" s="325" customFormat="1" ht="12.75" customHeight="1" thickBot="1" x14ac:dyDescent="0.25">
      <c r="A8" s="665" t="s">
        <v>77</v>
      </c>
      <c r="B8" s="552" t="s">
        <v>43</v>
      </c>
      <c r="C8" s="552" t="s">
        <v>29</v>
      </c>
      <c r="D8" s="331" t="s">
        <v>153</v>
      </c>
      <c r="E8" s="552" t="s">
        <v>29</v>
      </c>
      <c r="F8" s="552" t="s">
        <v>29</v>
      </c>
      <c r="G8" s="666" t="s">
        <v>26</v>
      </c>
    </row>
    <row r="9" spans="1:7" s="395" customFormat="1" ht="15.75" customHeight="1" x14ac:dyDescent="0.25">
      <c r="A9" s="390" t="s">
        <v>356</v>
      </c>
      <c r="B9" s="391">
        <v>329</v>
      </c>
      <c r="C9" s="392">
        <v>11185</v>
      </c>
      <c r="D9" s="391">
        <v>1073</v>
      </c>
      <c r="E9" s="392">
        <v>858545</v>
      </c>
      <c r="F9" s="392">
        <f>C9+E9</f>
        <v>869730</v>
      </c>
      <c r="G9" s="393" t="s">
        <v>357</v>
      </c>
    </row>
    <row r="10" spans="1:7" s="289" customFormat="1" ht="15.75" customHeight="1" x14ac:dyDescent="0.25">
      <c r="A10" s="691" t="s">
        <v>30</v>
      </c>
      <c r="B10" s="660">
        <v>36</v>
      </c>
      <c r="C10" s="661">
        <v>905</v>
      </c>
      <c r="D10" s="660">
        <v>2054</v>
      </c>
      <c r="E10" s="661">
        <v>1472792</v>
      </c>
      <c r="F10" s="661">
        <f t="shared" ref="F10:F23" si="0">C10+E10</f>
        <v>1473697</v>
      </c>
      <c r="G10" s="655" t="s">
        <v>31</v>
      </c>
    </row>
    <row r="11" spans="1:7" s="289" customFormat="1" ht="15" customHeight="1" x14ac:dyDescent="0.25">
      <c r="A11" s="396" t="s">
        <v>3</v>
      </c>
      <c r="B11" s="391">
        <v>25</v>
      </c>
      <c r="C11" s="392">
        <v>779</v>
      </c>
      <c r="D11" s="391">
        <v>3313</v>
      </c>
      <c r="E11" s="392">
        <v>2594200</v>
      </c>
      <c r="F11" s="392">
        <f t="shared" si="0"/>
        <v>2594979</v>
      </c>
      <c r="G11" s="397" t="s">
        <v>15</v>
      </c>
    </row>
    <row r="12" spans="1:7" s="289" customFormat="1" ht="14.25" customHeight="1" x14ac:dyDescent="0.25">
      <c r="A12" s="691" t="s">
        <v>342</v>
      </c>
      <c r="B12" s="660">
        <v>164</v>
      </c>
      <c r="C12" s="661">
        <v>3612</v>
      </c>
      <c r="D12" s="660">
        <v>1897</v>
      </c>
      <c r="E12" s="661">
        <v>1519693</v>
      </c>
      <c r="F12" s="661">
        <f t="shared" si="0"/>
        <v>1523305</v>
      </c>
      <c r="G12" s="655" t="s">
        <v>337</v>
      </c>
    </row>
    <row r="13" spans="1:7" s="289" customFormat="1" ht="15" customHeight="1" x14ac:dyDescent="0.25">
      <c r="A13" s="396" t="s">
        <v>4</v>
      </c>
      <c r="B13" s="391">
        <v>2363</v>
      </c>
      <c r="C13" s="392">
        <v>44950</v>
      </c>
      <c r="D13" s="391">
        <v>27973</v>
      </c>
      <c r="E13" s="392">
        <v>21734961</v>
      </c>
      <c r="F13" s="392">
        <f t="shared" si="0"/>
        <v>21779911</v>
      </c>
      <c r="G13" s="397" t="s">
        <v>16</v>
      </c>
    </row>
    <row r="14" spans="1:7" s="289" customFormat="1" ht="12.95" customHeight="1" x14ac:dyDescent="0.25">
      <c r="A14" s="694" t="s">
        <v>5</v>
      </c>
      <c r="B14" s="660">
        <v>1680</v>
      </c>
      <c r="C14" s="661">
        <v>23538</v>
      </c>
      <c r="D14" s="660">
        <v>3670</v>
      </c>
      <c r="E14" s="661">
        <v>3159583</v>
      </c>
      <c r="F14" s="661">
        <f t="shared" si="0"/>
        <v>3183121</v>
      </c>
      <c r="G14" s="697" t="s">
        <v>23</v>
      </c>
    </row>
    <row r="15" spans="1:7" s="289" customFormat="1" ht="12.95" customHeight="1" x14ac:dyDescent="0.25">
      <c r="A15" s="396" t="s">
        <v>6</v>
      </c>
      <c r="B15" s="391">
        <v>697</v>
      </c>
      <c r="C15" s="392">
        <v>7667</v>
      </c>
      <c r="D15" s="391">
        <v>3744</v>
      </c>
      <c r="E15" s="392">
        <v>2613323</v>
      </c>
      <c r="F15" s="392">
        <f t="shared" si="0"/>
        <v>2620990</v>
      </c>
      <c r="G15" s="397" t="s">
        <v>24</v>
      </c>
    </row>
    <row r="16" spans="1:7" s="289" customFormat="1" ht="12.95" customHeight="1" x14ac:dyDescent="0.25">
      <c r="A16" s="694" t="s">
        <v>11</v>
      </c>
      <c r="B16" s="660">
        <v>251</v>
      </c>
      <c r="C16" s="661">
        <v>3512</v>
      </c>
      <c r="D16" s="660">
        <v>1438</v>
      </c>
      <c r="E16" s="661">
        <v>1236262</v>
      </c>
      <c r="F16" s="661">
        <f t="shared" si="0"/>
        <v>1239774</v>
      </c>
      <c r="G16" s="697" t="s">
        <v>21</v>
      </c>
    </row>
    <row r="17" spans="1:10" s="289" customFormat="1" ht="14.25" customHeight="1" x14ac:dyDescent="0.25">
      <c r="A17" s="396" t="s">
        <v>2</v>
      </c>
      <c r="B17" s="391">
        <v>134</v>
      </c>
      <c r="C17" s="392">
        <v>1617</v>
      </c>
      <c r="D17" s="391">
        <v>1024</v>
      </c>
      <c r="E17" s="392">
        <v>847951</v>
      </c>
      <c r="F17" s="392">
        <f t="shared" si="0"/>
        <v>849568</v>
      </c>
      <c r="G17" s="397" t="s">
        <v>14</v>
      </c>
    </row>
    <row r="18" spans="1:10" s="289" customFormat="1" ht="15.75" customHeight="1" x14ac:dyDescent="0.25">
      <c r="A18" s="694" t="s">
        <v>7</v>
      </c>
      <c r="B18" s="660">
        <v>176</v>
      </c>
      <c r="C18" s="661">
        <v>1757</v>
      </c>
      <c r="D18" s="660">
        <v>4117</v>
      </c>
      <c r="E18" s="661">
        <v>3634961</v>
      </c>
      <c r="F18" s="661">
        <f t="shared" si="0"/>
        <v>3636718</v>
      </c>
      <c r="G18" s="697" t="s">
        <v>17</v>
      </c>
    </row>
    <row r="19" spans="1:10" s="289" customFormat="1" ht="12.95" customHeight="1" x14ac:dyDescent="0.25">
      <c r="A19" s="396" t="s">
        <v>8</v>
      </c>
      <c r="B19" s="391">
        <v>2254</v>
      </c>
      <c r="C19" s="392">
        <v>22551</v>
      </c>
      <c r="D19" s="391">
        <v>3526</v>
      </c>
      <c r="E19" s="392">
        <v>2965407</v>
      </c>
      <c r="F19" s="392">
        <f t="shared" si="0"/>
        <v>2987958</v>
      </c>
      <c r="G19" s="397" t="s">
        <v>18</v>
      </c>
    </row>
    <row r="20" spans="1:10" s="289" customFormat="1" ht="15" customHeight="1" x14ac:dyDescent="0.25">
      <c r="A20" s="694" t="s">
        <v>9</v>
      </c>
      <c r="B20" s="660">
        <v>582</v>
      </c>
      <c r="C20" s="661">
        <v>5832</v>
      </c>
      <c r="D20" s="660">
        <v>2408</v>
      </c>
      <c r="E20" s="661">
        <v>2005866</v>
      </c>
      <c r="F20" s="661">
        <f t="shared" si="0"/>
        <v>2011698</v>
      </c>
      <c r="G20" s="697" t="s">
        <v>19</v>
      </c>
    </row>
    <row r="21" spans="1:10" s="289" customFormat="1" ht="15.75" customHeight="1" x14ac:dyDescent="0.25">
      <c r="A21" s="580" t="s">
        <v>10</v>
      </c>
      <c r="B21" s="482">
        <v>922</v>
      </c>
      <c r="C21" s="153">
        <v>10150</v>
      </c>
      <c r="D21" s="482">
        <v>3261</v>
      </c>
      <c r="E21" s="153">
        <v>2445731</v>
      </c>
      <c r="F21" s="153">
        <f t="shared" si="0"/>
        <v>2455881</v>
      </c>
      <c r="G21" s="583" t="s">
        <v>20</v>
      </c>
    </row>
    <row r="22" spans="1:10" s="289" customFormat="1" ht="15" customHeight="1" x14ac:dyDescent="0.25">
      <c r="A22" s="694" t="s">
        <v>12</v>
      </c>
      <c r="B22" s="660">
        <v>327</v>
      </c>
      <c r="C22" s="661">
        <v>3593</v>
      </c>
      <c r="D22" s="660">
        <v>814</v>
      </c>
      <c r="E22" s="661">
        <v>779435</v>
      </c>
      <c r="F22" s="661">
        <f t="shared" si="0"/>
        <v>783028</v>
      </c>
      <c r="G22" s="697" t="s">
        <v>25</v>
      </c>
    </row>
    <row r="23" spans="1:10" s="289" customFormat="1" ht="18" customHeight="1" thickBot="1" x14ac:dyDescent="0.3">
      <c r="A23" s="580" t="s">
        <v>13</v>
      </c>
      <c r="B23" s="482">
        <v>0</v>
      </c>
      <c r="C23" s="153">
        <v>0</v>
      </c>
      <c r="D23" s="482">
        <v>3765</v>
      </c>
      <c r="E23" s="153">
        <v>3064428</v>
      </c>
      <c r="F23" s="153">
        <f t="shared" si="0"/>
        <v>3064428</v>
      </c>
      <c r="G23" s="583" t="s">
        <v>22</v>
      </c>
    </row>
    <row r="24" spans="1:10" s="395" customFormat="1" ht="17.25" customHeight="1" thickTop="1" thickBot="1" x14ac:dyDescent="0.25">
      <c r="A24" s="777" t="s">
        <v>0</v>
      </c>
      <c r="B24" s="727">
        <v>9940</v>
      </c>
      <c r="C24" s="727">
        <v>141648</v>
      </c>
      <c r="D24" s="727">
        <v>64077</v>
      </c>
      <c r="E24" s="727">
        <v>50933138</v>
      </c>
      <c r="F24" s="727">
        <f>C24+E24</f>
        <v>51074786</v>
      </c>
      <c r="G24" s="776" t="s">
        <v>1</v>
      </c>
    </row>
    <row r="25" spans="1:10" s="6" customFormat="1" ht="17.25" customHeight="1" thickTop="1" x14ac:dyDescent="0.2">
      <c r="A25" s="948"/>
      <c r="B25" s="948"/>
      <c r="C25" s="948"/>
      <c r="D25" s="948"/>
      <c r="E25" s="948"/>
      <c r="F25" s="948"/>
      <c r="G25" s="948"/>
      <c r="H25" s="948"/>
    </row>
    <row r="26" spans="1:10" ht="14.25" x14ac:dyDescent="0.2">
      <c r="C26" s="6"/>
      <c r="D26" s="6"/>
      <c r="E26" s="6"/>
      <c r="F26" s="6"/>
      <c r="G26" s="186"/>
      <c r="H26" s="5"/>
      <c r="I26" s="5"/>
      <c r="J26" s="6"/>
    </row>
    <row r="27" spans="1:10" ht="15" x14ac:dyDescent="0.25">
      <c r="A27" s="973"/>
      <c r="B27" s="973"/>
      <c r="C27" s="6"/>
      <c r="D27" s="6"/>
      <c r="E27" s="6"/>
      <c r="F27" s="974"/>
      <c r="G27" s="974"/>
      <c r="H27" s="5"/>
      <c r="I27" s="6"/>
    </row>
    <row r="28" spans="1:10" x14ac:dyDescent="0.2">
      <c r="F28" t="s">
        <v>396</v>
      </c>
    </row>
  </sheetData>
  <mergeCells count="7">
    <mergeCell ref="F3:G3"/>
    <mergeCell ref="A27:B27"/>
    <mergeCell ref="F27:G27"/>
    <mergeCell ref="A1:G1"/>
    <mergeCell ref="A2:G2"/>
    <mergeCell ref="A4:C4"/>
    <mergeCell ref="A25:H25"/>
  </mergeCells>
  <phoneticPr fontId="3" type="noConversion"/>
  <printOptions horizontalCentered="1" verticalCentered="1"/>
  <pageMargins left="1.25" right="1.1399999999999999" top="0.75" bottom="0.98425196850393704" header="0.9" footer="0.511811023622047"/>
  <pageSetup orientation="landscape" verticalDpi="300" r:id="rId1"/>
  <headerFooter alignWithMargins="0">
    <oddFooter>&amp;C38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"/>
  <sheetViews>
    <sheetView rightToLeft="1" zoomScaleSheetLayoutView="87" workbookViewId="0">
      <selection activeCell="A4" sqref="A4:B4"/>
    </sheetView>
  </sheetViews>
  <sheetFormatPr defaultRowHeight="12.75" x14ac:dyDescent="0.2"/>
  <cols>
    <col min="1" max="1" width="9.140625" customWidth="1"/>
    <col min="2" max="2" width="9.7109375" customWidth="1"/>
    <col min="3" max="3" width="14.42578125" customWidth="1"/>
    <col min="4" max="4" width="9.28515625" customWidth="1"/>
    <col min="5" max="5" width="11.5703125" customWidth="1"/>
    <col min="6" max="6" width="10" customWidth="1"/>
    <col min="7" max="7" width="11.85546875" customWidth="1"/>
    <col min="8" max="8" width="8.85546875" customWidth="1"/>
    <col min="9" max="9" width="11.5703125" customWidth="1"/>
    <col min="10" max="10" width="8.7109375" style="6" customWidth="1"/>
    <col min="11" max="11" width="11.7109375" customWidth="1"/>
    <col min="12" max="12" width="15.42578125" customWidth="1"/>
  </cols>
  <sheetData>
    <row r="1" spans="1:13" ht="15" x14ac:dyDescent="0.2">
      <c r="A1" s="975" t="s">
        <v>465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</row>
    <row r="2" spans="1:13" ht="15.75" customHeight="1" x14ac:dyDescent="0.2">
      <c r="A2" s="978" t="s">
        <v>434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</row>
    <row r="3" spans="1:13" s="6" customFormat="1" ht="15.75" customHeight="1" x14ac:dyDescent="0.25">
      <c r="A3" s="210"/>
      <c r="B3" s="210"/>
      <c r="C3" s="210"/>
      <c r="D3" s="210"/>
      <c r="E3" s="210"/>
      <c r="F3" s="210"/>
      <c r="G3" s="210"/>
      <c r="H3" s="210"/>
      <c r="I3" s="210"/>
      <c r="J3" s="264"/>
      <c r="K3" s="926" t="s">
        <v>477</v>
      </c>
      <c r="L3" s="926"/>
    </row>
    <row r="4" spans="1:13" ht="15.75" customHeight="1" thickBot="1" x14ac:dyDescent="0.3">
      <c r="A4" s="977" t="s">
        <v>491</v>
      </c>
      <c r="B4" s="977"/>
      <c r="C4" s="118" t="s">
        <v>178</v>
      </c>
      <c r="D4" s="119"/>
      <c r="E4" s="18"/>
      <c r="F4" s="120"/>
      <c r="G4" s="120"/>
      <c r="H4" s="119"/>
      <c r="I4" s="118"/>
      <c r="J4" s="118"/>
      <c r="K4" s="976" t="s">
        <v>319</v>
      </c>
      <c r="L4" s="976" t="s">
        <v>53</v>
      </c>
      <c r="M4" s="3"/>
    </row>
    <row r="5" spans="1:13" ht="19.5" customHeight="1" x14ac:dyDescent="0.25">
      <c r="A5" s="8"/>
      <c r="B5" s="980" t="s">
        <v>152</v>
      </c>
      <c r="C5" s="980"/>
      <c r="D5" s="980" t="s">
        <v>151</v>
      </c>
      <c r="E5" s="980"/>
      <c r="F5" s="980" t="s">
        <v>39</v>
      </c>
      <c r="G5" s="980"/>
      <c r="H5" s="980" t="s">
        <v>40</v>
      </c>
      <c r="I5" s="980"/>
      <c r="J5" s="265"/>
      <c r="K5" s="122" t="s">
        <v>0</v>
      </c>
      <c r="L5" s="122"/>
    </row>
    <row r="6" spans="1:13" ht="15" customHeight="1" x14ac:dyDescent="0.25">
      <c r="A6" s="18"/>
      <c r="B6" s="906" t="s">
        <v>162</v>
      </c>
      <c r="C6" s="906"/>
      <c r="D6" s="979" t="s">
        <v>293</v>
      </c>
      <c r="E6" s="979"/>
      <c r="F6" s="979" t="s">
        <v>163</v>
      </c>
      <c r="G6" s="979"/>
      <c r="H6" s="906" t="s">
        <v>160</v>
      </c>
      <c r="I6" s="906"/>
      <c r="J6" s="263"/>
      <c r="K6" s="225" t="s">
        <v>1</v>
      </c>
      <c r="L6" s="121"/>
    </row>
    <row r="7" spans="1:13" s="151" customFormat="1" ht="26.25" customHeight="1" x14ac:dyDescent="0.2">
      <c r="A7" s="350"/>
      <c r="B7" s="349" t="s">
        <v>222</v>
      </c>
      <c r="C7" s="349" t="s">
        <v>224</v>
      </c>
      <c r="D7" s="349" t="s">
        <v>222</v>
      </c>
      <c r="E7" s="349" t="s">
        <v>224</v>
      </c>
      <c r="F7" s="349" t="s">
        <v>222</v>
      </c>
      <c r="G7" s="349" t="s">
        <v>224</v>
      </c>
      <c r="H7" s="349" t="s">
        <v>222</v>
      </c>
      <c r="I7" s="349" t="s">
        <v>224</v>
      </c>
      <c r="J7" s="349" t="s">
        <v>466</v>
      </c>
      <c r="K7" s="349" t="s">
        <v>224</v>
      </c>
      <c r="L7" s="350"/>
    </row>
    <row r="8" spans="1:13" s="325" customFormat="1" ht="15" customHeight="1" thickBot="1" x14ac:dyDescent="0.25">
      <c r="A8" s="855" t="s">
        <v>54</v>
      </c>
      <c r="B8" s="856" t="s">
        <v>128</v>
      </c>
      <c r="C8" s="857" t="s">
        <v>29</v>
      </c>
      <c r="D8" s="856" t="s">
        <v>128</v>
      </c>
      <c r="E8" s="858" t="s">
        <v>29</v>
      </c>
      <c r="F8" s="856" t="s">
        <v>128</v>
      </c>
      <c r="G8" s="857" t="s">
        <v>29</v>
      </c>
      <c r="H8" s="856" t="s">
        <v>128</v>
      </c>
      <c r="I8" s="857" t="s">
        <v>29</v>
      </c>
      <c r="J8" s="857"/>
      <c r="K8" s="857" t="s">
        <v>29</v>
      </c>
      <c r="L8" s="857" t="s">
        <v>26</v>
      </c>
    </row>
    <row r="9" spans="1:13" s="289" customFormat="1" ht="15" customHeight="1" x14ac:dyDescent="0.25">
      <c r="A9" s="439" t="s">
        <v>356</v>
      </c>
      <c r="B9" s="440">
        <v>2337</v>
      </c>
      <c r="C9" s="440">
        <v>214068</v>
      </c>
      <c r="D9" s="440">
        <v>1574</v>
      </c>
      <c r="E9" s="440">
        <v>173313</v>
      </c>
      <c r="F9" s="440">
        <v>2004</v>
      </c>
      <c r="G9" s="440">
        <v>193415</v>
      </c>
      <c r="H9" s="440">
        <v>157</v>
      </c>
      <c r="I9" s="392">
        <v>14442</v>
      </c>
      <c r="J9" s="392">
        <v>6072</v>
      </c>
      <c r="K9" s="392">
        <v>595238</v>
      </c>
      <c r="L9" s="54" t="s">
        <v>357</v>
      </c>
    </row>
    <row r="10" spans="1:13" s="289" customFormat="1" ht="15" customHeight="1" x14ac:dyDescent="0.25">
      <c r="A10" s="699" t="s">
        <v>30</v>
      </c>
      <c r="B10" s="700">
        <v>4675</v>
      </c>
      <c r="C10" s="700">
        <v>316853</v>
      </c>
      <c r="D10" s="700">
        <v>3700</v>
      </c>
      <c r="E10" s="700">
        <v>327179</v>
      </c>
      <c r="F10" s="700">
        <v>4291</v>
      </c>
      <c r="G10" s="700">
        <v>285820</v>
      </c>
      <c r="H10" s="700">
        <v>2227</v>
      </c>
      <c r="I10" s="661">
        <v>173170</v>
      </c>
      <c r="J10" s="661">
        <v>14893</v>
      </c>
      <c r="K10" s="661">
        <v>1103022</v>
      </c>
      <c r="L10" s="657" t="s">
        <v>31</v>
      </c>
    </row>
    <row r="11" spans="1:13" s="289" customFormat="1" ht="15" customHeight="1" x14ac:dyDescent="0.25">
      <c r="A11" s="441" t="s">
        <v>3</v>
      </c>
      <c r="B11" s="440">
        <v>7883</v>
      </c>
      <c r="C11" s="440">
        <v>559768</v>
      </c>
      <c r="D11" s="440">
        <v>5473</v>
      </c>
      <c r="E11" s="440">
        <v>476874</v>
      </c>
      <c r="F11" s="440">
        <v>8342</v>
      </c>
      <c r="G11" s="440">
        <v>517998</v>
      </c>
      <c r="H11" s="440">
        <v>0</v>
      </c>
      <c r="I11" s="440">
        <v>0</v>
      </c>
      <c r="J11" s="392">
        <v>21698</v>
      </c>
      <c r="K11" s="392">
        <v>1554640</v>
      </c>
      <c r="L11" s="672" t="s">
        <v>15</v>
      </c>
    </row>
    <row r="12" spans="1:13" s="289" customFormat="1" ht="15" customHeight="1" x14ac:dyDescent="0.25">
      <c r="A12" s="699" t="s">
        <v>342</v>
      </c>
      <c r="B12" s="700">
        <v>2768</v>
      </c>
      <c r="C12" s="700">
        <v>175440</v>
      </c>
      <c r="D12" s="661">
        <v>3220</v>
      </c>
      <c r="E12" s="700">
        <v>300948</v>
      </c>
      <c r="F12" s="700">
        <v>2395</v>
      </c>
      <c r="G12" s="700">
        <v>161351</v>
      </c>
      <c r="H12" s="700">
        <v>776</v>
      </c>
      <c r="I12" s="700">
        <v>59362</v>
      </c>
      <c r="J12" s="661">
        <v>9159</v>
      </c>
      <c r="K12" s="661">
        <v>697101</v>
      </c>
      <c r="L12" s="664" t="s">
        <v>337</v>
      </c>
    </row>
    <row r="13" spans="1:13" s="289" customFormat="1" ht="15" customHeight="1" x14ac:dyDescent="0.25">
      <c r="A13" s="441" t="s">
        <v>4</v>
      </c>
      <c r="B13" s="440">
        <v>42233</v>
      </c>
      <c r="C13" s="440">
        <v>2914628</v>
      </c>
      <c r="D13" s="440">
        <v>54854</v>
      </c>
      <c r="E13" s="440">
        <v>4214009</v>
      </c>
      <c r="F13" s="440">
        <v>42240</v>
      </c>
      <c r="G13" s="440">
        <v>3213418</v>
      </c>
      <c r="H13" s="440">
        <v>34793</v>
      </c>
      <c r="I13" s="440">
        <v>3128211</v>
      </c>
      <c r="J13" s="392">
        <v>174120</v>
      </c>
      <c r="K13" s="392">
        <v>13470266</v>
      </c>
      <c r="L13" s="672" t="s">
        <v>16</v>
      </c>
    </row>
    <row r="14" spans="1:13" s="289" customFormat="1" ht="15" customHeight="1" x14ac:dyDescent="0.25">
      <c r="A14" s="701" t="s">
        <v>5</v>
      </c>
      <c r="B14" s="700">
        <v>7311</v>
      </c>
      <c r="C14" s="700">
        <v>567006</v>
      </c>
      <c r="D14" s="700">
        <v>6103</v>
      </c>
      <c r="E14" s="700">
        <v>587067</v>
      </c>
      <c r="F14" s="700">
        <v>5711</v>
      </c>
      <c r="G14" s="700">
        <v>430940</v>
      </c>
      <c r="H14" s="700">
        <v>2138</v>
      </c>
      <c r="I14" s="700">
        <v>185229</v>
      </c>
      <c r="J14" s="661">
        <v>21263</v>
      </c>
      <c r="K14" s="661">
        <v>1770242</v>
      </c>
      <c r="L14" s="664" t="s">
        <v>23</v>
      </c>
    </row>
    <row r="15" spans="1:13" s="289" customFormat="1" ht="15" customHeight="1" x14ac:dyDescent="0.25">
      <c r="A15" s="702" t="s">
        <v>6</v>
      </c>
      <c r="B15" s="530">
        <v>7959</v>
      </c>
      <c r="C15" s="530">
        <v>616629</v>
      </c>
      <c r="D15" s="530">
        <v>9185</v>
      </c>
      <c r="E15" s="530">
        <v>914311</v>
      </c>
      <c r="F15" s="530">
        <v>4257</v>
      </c>
      <c r="G15" s="530">
        <v>297949</v>
      </c>
      <c r="H15" s="530">
        <v>793</v>
      </c>
      <c r="I15" s="530">
        <v>70326</v>
      </c>
      <c r="J15" s="153">
        <v>22194</v>
      </c>
      <c r="K15" s="153">
        <v>1899215</v>
      </c>
      <c r="L15" s="672" t="s">
        <v>24</v>
      </c>
    </row>
    <row r="16" spans="1:13" s="289" customFormat="1" ht="16.5" customHeight="1" x14ac:dyDescent="0.25">
      <c r="A16" s="701" t="s">
        <v>11</v>
      </c>
      <c r="B16" s="700">
        <v>3698</v>
      </c>
      <c r="C16" s="700">
        <v>294015</v>
      </c>
      <c r="D16" s="700">
        <v>2024</v>
      </c>
      <c r="E16" s="700">
        <v>183716</v>
      </c>
      <c r="F16" s="700">
        <v>2506</v>
      </c>
      <c r="G16" s="700">
        <v>156201</v>
      </c>
      <c r="H16" s="700">
        <v>0</v>
      </c>
      <c r="I16" s="700">
        <v>0</v>
      </c>
      <c r="J16" s="661">
        <v>8228</v>
      </c>
      <c r="K16" s="661">
        <v>633932</v>
      </c>
      <c r="L16" s="664" t="s">
        <v>21</v>
      </c>
    </row>
    <row r="17" spans="1:13" s="289" customFormat="1" ht="20.25" customHeight="1" x14ac:dyDescent="0.25">
      <c r="A17" s="441" t="s">
        <v>2</v>
      </c>
      <c r="B17" s="440">
        <v>2170</v>
      </c>
      <c r="C17" s="440">
        <f>B17*79</f>
        <v>171430</v>
      </c>
      <c r="D17" s="440">
        <v>2230</v>
      </c>
      <c r="E17" s="440">
        <v>170937</v>
      </c>
      <c r="F17" s="440">
        <v>3005</v>
      </c>
      <c r="G17" s="440">
        <v>176769</v>
      </c>
      <c r="H17" s="440">
        <v>56</v>
      </c>
      <c r="I17" s="440">
        <v>4740</v>
      </c>
      <c r="J17" s="392">
        <v>7461</v>
      </c>
      <c r="K17" s="392">
        <v>352446</v>
      </c>
      <c r="L17" s="672" t="s">
        <v>14</v>
      </c>
    </row>
    <row r="18" spans="1:13" s="289" customFormat="1" ht="15" customHeight="1" x14ac:dyDescent="0.25">
      <c r="A18" s="701" t="s">
        <v>7</v>
      </c>
      <c r="B18" s="700">
        <v>11554</v>
      </c>
      <c r="C18" s="700">
        <v>1072987</v>
      </c>
      <c r="D18" s="700">
        <v>14912</v>
      </c>
      <c r="E18" s="700">
        <v>1571245</v>
      </c>
      <c r="F18" s="700">
        <v>9245</v>
      </c>
      <c r="G18" s="700">
        <v>521096</v>
      </c>
      <c r="H18" s="700">
        <v>0</v>
      </c>
      <c r="I18" s="700">
        <v>0</v>
      </c>
      <c r="J18" s="661">
        <v>35711</v>
      </c>
      <c r="K18" s="661">
        <v>3165328</v>
      </c>
      <c r="L18" s="664" t="s">
        <v>17</v>
      </c>
    </row>
    <row r="19" spans="1:13" s="289" customFormat="1" ht="15" customHeight="1" x14ac:dyDescent="0.25">
      <c r="A19" s="441" t="s">
        <v>8</v>
      </c>
      <c r="B19" s="440">
        <v>6675</v>
      </c>
      <c r="C19" s="440">
        <v>509411</v>
      </c>
      <c r="D19" s="440">
        <v>7616</v>
      </c>
      <c r="E19" s="440">
        <v>658282</v>
      </c>
      <c r="F19" s="440">
        <v>5283</v>
      </c>
      <c r="G19" s="440">
        <v>330444</v>
      </c>
      <c r="H19" s="440">
        <v>0</v>
      </c>
      <c r="I19" s="440">
        <v>0</v>
      </c>
      <c r="J19" s="392">
        <v>19574</v>
      </c>
      <c r="K19" s="392">
        <v>1498137</v>
      </c>
      <c r="L19" s="672" t="s">
        <v>18</v>
      </c>
    </row>
    <row r="20" spans="1:13" s="289" customFormat="1" ht="15" customHeight="1" x14ac:dyDescent="0.25">
      <c r="A20" s="701" t="s">
        <v>9</v>
      </c>
      <c r="B20" s="700">
        <v>4738</v>
      </c>
      <c r="C20" s="700">
        <v>336185</v>
      </c>
      <c r="D20" s="700">
        <v>2559</v>
      </c>
      <c r="E20" s="700">
        <v>270917</v>
      </c>
      <c r="F20" s="700">
        <v>3716</v>
      </c>
      <c r="G20" s="700">
        <v>243979</v>
      </c>
      <c r="H20" s="700">
        <v>0</v>
      </c>
      <c r="I20" s="700">
        <v>0</v>
      </c>
      <c r="J20" s="661">
        <v>11013</v>
      </c>
      <c r="K20" s="661">
        <v>851081</v>
      </c>
      <c r="L20" s="664" t="s">
        <v>19</v>
      </c>
    </row>
    <row r="21" spans="1:13" s="289" customFormat="1" ht="15" customHeight="1" x14ac:dyDescent="0.25">
      <c r="A21" s="702" t="s">
        <v>10</v>
      </c>
      <c r="B21" s="530">
        <v>7417</v>
      </c>
      <c r="C21" s="530">
        <v>555582</v>
      </c>
      <c r="D21" s="530">
        <v>2392</v>
      </c>
      <c r="E21" s="530">
        <v>167895</v>
      </c>
      <c r="F21" s="530">
        <v>3381</v>
      </c>
      <c r="G21" s="530">
        <v>296144</v>
      </c>
      <c r="H21" s="530">
        <v>123</v>
      </c>
      <c r="I21" s="530">
        <v>14185</v>
      </c>
      <c r="J21" s="153">
        <v>13313</v>
      </c>
      <c r="K21" s="153">
        <v>1033806</v>
      </c>
      <c r="L21" s="672" t="s">
        <v>20</v>
      </c>
      <c r="M21" s="410"/>
    </row>
    <row r="22" spans="1:13" s="289" customFormat="1" ht="15" customHeight="1" x14ac:dyDescent="0.25">
      <c r="A22" s="701" t="s">
        <v>12</v>
      </c>
      <c r="B22" s="700">
        <v>1579</v>
      </c>
      <c r="C22" s="700">
        <v>119170</v>
      </c>
      <c r="D22" s="700">
        <v>1510</v>
      </c>
      <c r="E22" s="700">
        <v>125482</v>
      </c>
      <c r="F22" s="700">
        <v>1725</v>
      </c>
      <c r="G22" s="700">
        <v>102215</v>
      </c>
      <c r="H22" s="700">
        <v>1186</v>
      </c>
      <c r="I22" s="700">
        <v>114192</v>
      </c>
      <c r="J22" s="661">
        <v>6000</v>
      </c>
      <c r="K22" s="661">
        <v>461059</v>
      </c>
      <c r="L22" s="664" t="s">
        <v>25</v>
      </c>
      <c r="M22" s="410"/>
    </row>
    <row r="23" spans="1:13" s="289" customFormat="1" ht="15" customHeight="1" thickBot="1" x14ac:dyDescent="0.3">
      <c r="A23" s="441" t="s">
        <v>13</v>
      </c>
      <c r="B23" s="440">
        <v>6095</v>
      </c>
      <c r="C23" s="440">
        <v>560283</v>
      </c>
      <c r="D23" s="440">
        <v>2954</v>
      </c>
      <c r="E23" s="440">
        <v>299796</v>
      </c>
      <c r="F23" s="440">
        <v>3029</v>
      </c>
      <c r="G23" s="440">
        <v>291175</v>
      </c>
      <c r="H23" s="440">
        <v>631</v>
      </c>
      <c r="I23" s="440">
        <v>49019</v>
      </c>
      <c r="J23" s="392">
        <v>12709</v>
      </c>
      <c r="K23" s="392">
        <v>1200273</v>
      </c>
      <c r="L23" s="672" t="s">
        <v>22</v>
      </c>
      <c r="M23" s="410"/>
    </row>
    <row r="24" spans="1:13" s="395" customFormat="1" ht="24" customHeight="1" thickTop="1" thickBot="1" x14ac:dyDescent="0.25">
      <c r="A24" s="778" t="s">
        <v>0</v>
      </c>
      <c r="B24" s="779">
        <v>119092</v>
      </c>
      <c r="C24" s="779">
        <f>SUM(C9:C23)</f>
        <v>8983455</v>
      </c>
      <c r="D24" s="779">
        <v>120306</v>
      </c>
      <c r="E24" s="779">
        <v>10441971</v>
      </c>
      <c r="F24" s="779">
        <v>101130</v>
      </c>
      <c r="G24" s="779">
        <v>7218914</v>
      </c>
      <c r="H24" s="779">
        <v>42880</v>
      </c>
      <c r="I24" s="779">
        <v>3812876</v>
      </c>
      <c r="J24" s="779">
        <v>383408</v>
      </c>
      <c r="K24" s="779">
        <f>C24+E24+G24+I24</f>
        <v>30457216</v>
      </c>
      <c r="L24" s="763" t="s">
        <v>1</v>
      </c>
    </row>
    <row r="25" spans="1:13" s="6" customFormat="1" ht="17.25" customHeight="1" thickTop="1" x14ac:dyDescent="0.2">
      <c r="A25" s="948"/>
      <c r="B25" s="948"/>
      <c r="C25" s="948"/>
      <c r="D25" s="948"/>
      <c r="E25" s="948"/>
      <c r="F25" s="948"/>
      <c r="G25" s="948"/>
      <c r="H25" s="948"/>
      <c r="I25" s="193"/>
      <c r="J25" s="193"/>
      <c r="K25" s="193"/>
      <c r="L25" s="194"/>
    </row>
    <row r="26" spans="1:13" ht="14.25" x14ac:dyDescent="0.2">
      <c r="C26" s="6"/>
      <c r="D26" s="6"/>
      <c r="E26" s="6"/>
      <c r="F26" s="6"/>
      <c r="H26" s="1"/>
      <c r="I26" s="1"/>
      <c r="J26" s="1"/>
      <c r="K26" s="1"/>
      <c r="L26" s="186"/>
    </row>
    <row r="27" spans="1:13" ht="15" x14ac:dyDescent="0.25">
      <c r="A27" s="973"/>
      <c r="B27" s="973"/>
      <c r="C27" s="6"/>
      <c r="D27" s="6"/>
      <c r="E27" s="6"/>
      <c r="H27" s="1"/>
      <c r="I27" s="1"/>
      <c r="J27" s="1"/>
      <c r="K27" s="974"/>
      <c r="L27" s="974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6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  <mergeCell ref="A25:H25"/>
  </mergeCells>
  <phoneticPr fontId="3" type="noConversion"/>
  <printOptions horizontalCentered="1" verticalCentered="1"/>
  <pageMargins left="0.2" right="0.57999999999999996" top="0.97" bottom="1.5354330708661399" header="0.97" footer="0.90551181102362199"/>
  <pageSetup scale="98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rightToLeft="1" zoomScaleSheetLayoutView="96" workbookViewId="0">
      <selection activeCell="A4" sqref="A4:B4"/>
    </sheetView>
  </sheetViews>
  <sheetFormatPr defaultRowHeight="12.75" x14ac:dyDescent="0.2"/>
  <cols>
    <col min="1" max="1" width="9.7109375" customWidth="1"/>
    <col min="2" max="2" width="13" customWidth="1"/>
    <col min="3" max="3" width="10.28515625" customWidth="1"/>
    <col min="4" max="4" width="11.140625" customWidth="1"/>
    <col min="5" max="5" width="14.140625" customWidth="1"/>
    <col min="6" max="6" width="12.42578125" customWidth="1"/>
    <col min="7" max="7" width="14.140625" customWidth="1"/>
    <col min="8" max="8" width="13.5703125" style="6" customWidth="1"/>
    <col min="9" max="9" width="14.140625" customWidth="1"/>
    <col min="10" max="10" width="18.140625" customWidth="1"/>
  </cols>
  <sheetData>
    <row r="1" spans="1:10" ht="15" x14ac:dyDescent="0.2">
      <c r="A1" s="981" t="s">
        <v>465</v>
      </c>
      <c r="B1" s="981"/>
      <c r="C1" s="981"/>
      <c r="D1" s="981"/>
      <c r="E1" s="981"/>
      <c r="F1" s="981"/>
      <c r="G1" s="981"/>
      <c r="H1" s="981"/>
      <c r="I1" s="981"/>
      <c r="J1" s="981"/>
    </row>
    <row r="2" spans="1:10" ht="15" x14ac:dyDescent="0.2">
      <c r="A2" s="983" t="s">
        <v>434</v>
      </c>
      <c r="B2" s="983"/>
      <c r="C2" s="983"/>
      <c r="D2" s="983"/>
      <c r="E2" s="983"/>
      <c r="F2" s="983"/>
      <c r="G2" s="983"/>
      <c r="H2" s="983"/>
      <c r="I2" s="983"/>
      <c r="J2" s="983"/>
    </row>
    <row r="3" spans="1:10" s="6" customFormat="1" ht="15" x14ac:dyDescent="0.25">
      <c r="A3" s="211"/>
      <c r="B3" s="211"/>
      <c r="C3" s="211"/>
      <c r="D3" s="211"/>
      <c r="E3" s="211"/>
      <c r="F3" s="211"/>
      <c r="G3" s="211"/>
      <c r="H3" s="266"/>
      <c r="I3" s="926" t="s">
        <v>477</v>
      </c>
      <c r="J3" s="926"/>
    </row>
    <row r="4" spans="1:10" ht="15.75" customHeight="1" thickBot="1" x14ac:dyDescent="0.3">
      <c r="A4" s="982" t="s">
        <v>485</v>
      </c>
      <c r="B4" s="982"/>
      <c r="C4" s="126" t="s">
        <v>159</v>
      </c>
      <c r="D4" s="123"/>
      <c r="E4" s="18"/>
      <c r="F4" s="123"/>
      <c r="G4" s="123"/>
      <c r="H4" s="123"/>
      <c r="I4" s="124" t="s">
        <v>321</v>
      </c>
      <c r="J4" s="125" t="s">
        <v>320</v>
      </c>
    </row>
    <row r="5" spans="1:10" ht="15.75" customHeight="1" x14ac:dyDescent="0.2">
      <c r="A5" s="127"/>
      <c r="B5" s="985" t="s">
        <v>38</v>
      </c>
      <c r="C5" s="985"/>
      <c r="D5" s="985" t="s">
        <v>39</v>
      </c>
      <c r="E5" s="985"/>
      <c r="F5" s="985" t="s">
        <v>40</v>
      </c>
      <c r="G5" s="985"/>
      <c r="H5" s="985" t="s">
        <v>0</v>
      </c>
      <c r="I5" s="985"/>
      <c r="J5" s="128"/>
    </row>
    <row r="6" spans="1:10" s="151" customFormat="1" ht="15" customHeight="1" x14ac:dyDescent="0.25">
      <c r="A6" s="843"/>
      <c r="B6" s="984" t="s">
        <v>278</v>
      </c>
      <c r="C6" s="984"/>
      <c r="D6" s="984" t="s">
        <v>163</v>
      </c>
      <c r="E6" s="984"/>
      <c r="F6" s="984" t="s">
        <v>160</v>
      </c>
      <c r="G6" s="984"/>
      <c r="H6" s="330"/>
      <c r="I6" s="845" t="s">
        <v>1</v>
      </c>
      <c r="J6" s="843"/>
    </row>
    <row r="7" spans="1:10" s="151" customFormat="1" ht="15" customHeight="1" x14ac:dyDescent="0.2">
      <c r="A7" s="844"/>
      <c r="B7" s="586" t="s">
        <v>222</v>
      </c>
      <c r="C7" s="586" t="s">
        <v>224</v>
      </c>
      <c r="D7" s="586" t="s">
        <v>222</v>
      </c>
      <c r="E7" s="586" t="s">
        <v>224</v>
      </c>
      <c r="F7" s="586" t="s">
        <v>222</v>
      </c>
      <c r="G7" s="586" t="s">
        <v>224</v>
      </c>
      <c r="H7" s="986" t="s">
        <v>343</v>
      </c>
      <c r="I7" s="586" t="s">
        <v>224</v>
      </c>
      <c r="J7" s="844"/>
    </row>
    <row r="8" spans="1:10" s="780" customFormat="1" ht="16.5" customHeight="1" thickBot="1" x14ac:dyDescent="0.25">
      <c r="A8" s="584" t="s">
        <v>52</v>
      </c>
      <c r="B8" s="584" t="s">
        <v>128</v>
      </c>
      <c r="C8" s="585" t="s">
        <v>29</v>
      </c>
      <c r="D8" s="584" t="s">
        <v>128</v>
      </c>
      <c r="E8" s="586" t="s">
        <v>29</v>
      </c>
      <c r="F8" s="584" t="s">
        <v>128</v>
      </c>
      <c r="G8" s="585" t="s">
        <v>29</v>
      </c>
      <c r="H8" s="986"/>
      <c r="I8" s="585" t="s">
        <v>29</v>
      </c>
      <c r="J8" s="698" t="s">
        <v>26</v>
      </c>
    </row>
    <row r="9" spans="1:10" s="395" customFormat="1" ht="15" customHeight="1" x14ac:dyDescent="0.2">
      <c r="A9" s="839" t="s">
        <v>356</v>
      </c>
      <c r="B9" s="840">
        <v>42</v>
      </c>
      <c r="C9" s="840">
        <f>B9*72</f>
        <v>3024</v>
      </c>
      <c r="D9" s="840">
        <v>3706</v>
      </c>
      <c r="E9" s="841">
        <v>247887</v>
      </c>
      <c r="F9" s="840">
        <v>895</v>
      </c>
      <c r="G9" s="841">
        <v>84335</v>
      </c>
      <c r="H9" s="840">
        <v>4643</v>
      </c>
      <c r="I9" s="840">
        <v>332222</v>
      </c>
      <c r="J9" s="842" t="s">
        <v>357</v>
      </c>
    </row>
    <row r="10" spans="1:10" s="289" customFormat="1" ht="15" customHeight="1" x14ac:dyDescent="0.2">
      <c r="A10" s="524" t="s">
        <v>30</v>
      </c>
      <c r="B10" s="523">
        <v>943</v>
      </c>
      <c r="C10" s="523">
        <f>B10*72</f>
        <v>67896</v>
      </c>
      <c r="D10" s="523">
        <v>11229</v>
      </c>
      <c r="E10" s="525">
        <v>721568</v>
      </c>
      <c r="F10" s="523">
        <v>4483</v>
      </c>
      <c r="G10" s="525">
        <v>267997</v>
      </c>
      <c r="H10" s="523">
        <v>16655</v>
      </c>
      <c r="I10" s="523">
        <v>989565</v>
      </c>
      <c r="J10" s="526" t="s">
        <v>31</v>
      </c>
    </row>
    <row r="11" spans="1:10" s="289" customFormat="1" ht="15" customHeight="1" x14ac:dyDescent="0.2">
      <c r="A11" s="443" t="s">
        <v>3</v>
      </c>
      <c r="B11" s="440">
        <v>10399</v>
      </c>
      <c r="C11" s="440">
        <f>B11*60</f>
        <v>623940</v>
      </c>
      <c r="D11" s="440">
        <v>12207</v>
      </c>
      <c r="E11" s="442">
        <v>722473</v>
      </c>
      <c r="F11" s="440">
        <v>1752</v>
      </c>
      <c r="G11" s="442">
        <v>134510</v>
      </c>
      <c r="H11" s="440">
        <v>24358</v>
      </c>
      <c r="I11" s="440">
        <v>1493079</v>
      </c>
      <c r="J11" s="444" t="s">
        <v>15</v>
      </c>
    </row>
    <row r="12" spans="1:10" s="289" customFormat="1" ht="15" customHeight="1" x14ac:dyDescent="0.2">
      <c r="A12" s="524" t="s">
        <v>342</v>
      </c>
      <c r="B12" s="523">
        <v>0</v>
      </c>
      <c r="C12" s="523">
        <v>0</v>
      </c>
      <c r="D12" s="523">
        <v>4882</v>
      </c>
      <c r="E12" s="525">
        <v>407074</v>
      </c>
      <c r="F12" s="523">
        <v>2107</v>
      </c>
      <c r="G12" s="525">
        <v>165172</v>
      </c>
      <c r="H12" s="523">
        <v>6989</v>
      </c>
      <c r="I12" s="523">
        <v>572246</v>
      </c>
      <c r="J12" s="526" t="s">
        <v>337</v>
      </c>
    </row>
    <row r="13" spans="1:10" s="289" customFormat="1" ht="15" customHeight="1" x14ac:dyDescent="0.2">
      <c r="A13" s="443" t="s">
        <v>4</v>
      </c>
      <c r="B13" s="440">
        <v>8408</v>
      </c>
      <c r="C13" s="440">
        <f>B13*72</f>
        <v>605376</v>
      </c>
      <c r="D13" s="440">
        <v>73592</v>
      </c>
      <c r="E13" s="442">
        <v>4410974</v>
      </c>
      <c r="F13" s="440">
        <v>63313</v>
      </c>
      <c r="G13" s="442">
        <v>5861928</v>
      </c>
      <c r="H13" s="440">
        <v>145313</v>
      </c>
      <c r="I13" s="440">
        <v>10272902</v>
      </c>
      <c r="J13" s="444" t="s">
        <v>16</v>
      </c>
    </row>
    <row r="14" spans="1:10" s="289" customFormat="1" ht="15" customHeight="1" x14ac:dyDescent="0.2">
      <c r="A14" s="527" t="s">
        <v>5</v>
      </c>
      <c r="B14" s="523">
        <v>0</v>
      </c>
      <c r="C14" s="523">
        <v>0</v>
      </c>
      <c r="D14" s="523">
        <v>13119</v>
      </c>
      <c r="E14" s="525">
        <v>876944</v>
      </c>
      <c r="F14" s="523">
        <v>10753</v>
      </c>
      <c r="G14" s="525">
        <v>800166</v>
      </c>
      <c r="H14" s="523">
        <v>23872</v>
      </c>
      <c r="I14" s="523">
        <v>1677110</v>
      </c>
      <c r="J14" s="528" t="s">
        <v>23</v>
      </c>
    </row>
    <row r="15" spans="1:10" s="289" customFormat="1" ht="15" customHeight="1" x14ac:dyDescent="0.2">
      <c r="A15" s="443" t="s">
        <v>6</v>
      </c>
      <c r="B15" s="440">
        <v>422</v>
      </c>
      <c r="C15" s="440">
        <f>B15*72</f>
        <v>30384</v>
      </c>
      <c r="D15" s="440">
        <v>10171</v>
      </c>
      <c r="E15" s="442">
        <v>763169</v>
      </c>
      <c r="F15" s="440">
        <v>7724</v>
      </c>
      <c r="G15" s="442">
        <v>698860</v>
      </c>
      <c r="H15" s="440">
        <v>18317</v>
      </c>
      <c r="I15" s="440">
        <v>1462029</v>
      </c>
      <c r="J15" s="444" t="s">
        <v>24</v>
      </c>
    </row>
    <row r="16" spans="1:10" s="289" customFormat="1" ht="15" customHeight="1" x14ac:dyDescent="0.2">
      <c r="A16" s="527" t="s">
        <v>11</v>
      </c>
      <c r="B16" s="523">
        <v>0</v>
      </c>
      <c r="C16" s="523">
        <v>0</v>
      </c>
      <c r="D16" s="523">
        <v>6920</v>
      </c>
      <c r="E16" s="525">
        <v>413676</v>
      </c>
      <c r="F16" s="523">
        <v>2745</v>
      </c>
      <c r="G16" s="525">
        <v>191513</v>
      </c>
      <c r="H16" s="523">
        <v>9665</v>
      </c>
      <c r="I16" s="523">
        <v>605189</v>
      </c>
      <c r="J16" s="528" t="s">
        <v>21</v>
      </c>
    </row>
    <row r="17" spans="1:12" s="289" customFormat="1" ht="15" customHeight="1" x14ac:dyDescent="0.2">
      <c r="A17" s="443" t="s">
        <v>2</v>
      </c>
      <c r="B17" s="440">
        <v>1765</v>
      </c>
      <c r="C17" s="440">
        <f>B17*72</f>
        <v>127080</v>
      </c>
      <c r="D17" s="440">
        <v>4560</v>
      </c>
      <c r="E17" s="442">
        <v>238961</v>
      </c>
      <c r="F17" s="440">
        <v>117</v>
      </c>
      <c r="G17" s="442">
        <v>8731</v>
      </c>
      <c r="H17" s="440">
        <v>6442</v>
      </c>
      <c r="I17" s="440">
        <v>247692</v>
      </c>
      <c r="J17" s="444" t="s">
        <v>14</v>
      </c>
    </row>
    <row r="18" spans="1:12" s="289" customFormat="1" ht="15" customHeight="1" x14ac:dyDescent="0.2">
      <c r="A18" s="527" t="s">
        <v>7</v>
      </c>
      <c r="B18" s="523">
        <v>0</v>
      </c>
      <c r="C18" s="523">
        <v>0</v>
      </c>
      <c r="D18" s="523">
        <v>17919</v>
      </c>
      <c r="E18" s="525">
        <v>1050651</v>
      </c>
      <c r="F18" s="523">
        <v>3062</v>
      </c>
      <c r="G18" s="525">
        <f>F18*80</f>
        <v>244960</v>
      </c>
      <c r="H18" s="523">
        <v>20981</v>
      </c>
      <c r="I18" s="523">
        <v>1050651</v>
      </c>
      <c r="J18" s="528" t="s">
        <v>17</v>
      </c>
    </row>
    <row r="19" spans="1:12" s="289" customFormat="1" ht="14.25" customHeight="1" x14ac:dyDescent="0.2">
      <c r="A19" s="529" t="s">
        <v>8</v>
      </c>
      <c r="B19" s="530">
        <v>0</v>
      </c>
      <c r="C19" s="530">
        <v>0</v>
      </c>
      <c r="D19" s="530">
        <v>12960</v>
      </c>
      <c r="E19" s="531">
        <v>908138</v>
      </c>
      <c r="F19" s="530">
        <v>0</v>
      </c>
      <c r="G19" s="531">
        <v>0</v>
      </c>
      <c r="H19" s="530">
        <v>12960</v>
      </c>
      <c r="I19" s="530">
        <v>908138</v>
      </c>
      <c r="J19" s="532" t="s">
        <v>18</v>
      </c>
    </row>
    <row r="20" spans="1:12" s="289" customFormat="1" ht="16.5" customHeight="1" x14ac:dyDescent="0.2">
      <c r="A20" s="527" t="s">
        <v>9</v>
      </c>
      <c r="B20" s="523">
        <v>0</v>
      </c>
      <c r="C20" s="523">
        <v>0</v>
      </c>
      <c r="D20" s="523">
        <v>8894</v>
      </c>
      <c r="E20" s="525">
        <v>528504</v>
      </c>
      <c r="F20" s="523">
        <v>0</v>
      </c>
      <c r="G20" s="525">
        <v>0</v>
      </c>
      <c r="H20" s="523">
        <v>8894</v>
      </c>
      <c r="I20" s="523">
        <v>528504</v>
      </c>
      <c r="J20" s="528" t="s">
        <v>19</v>
      </c>
    </row>
    <row r="21" spans="1:12" s="289" customFormat="1" ht="16.5" customHeight="1" x14ac:dyDescent="0.2">
      <c r="A21" s="443" t="s">
        <v>10</v>
      </c>
      <c r="B21" s="440">
        <v>0</v>
      </c>
      <c r="C21" s="440">
        <v>0</v>
      </c>
      <c r="D21" s="440">
        <v>9635</v>
      </c>
      <c r="E21" s="442">
        <v>562236</v>
      </c>
      <c r="F21" s="440">
        <v>1877</v>
      </c>
      <c r="G21" s="442">
        <v>181670</v>
      </c>
      <c r="H21" s="440">
        <v>11512</v>
      </c>
      <c r="I21" s="440">
        <v>743906</v>
      </c>
      <c r="J21" s="444" t="s">
        <v>20</v>
      </c>
    </row>
    <row r="22" spans="1:12" s="289" customFormat="1" ht="15" customHeight="1" x14ac:dyDescent="0.2">
      <c r="A22" s="527" t="s">
        <v>12</v>
      </c>
      <c r="B22" s="523">
        <v>0</v>
      </c>
      <c r="C22" s="523">
        <v>0</v>
      </c>
      <c r="D22" s="523">
        <v>2178</v>
      </c>
      <c r="E22" s="525">
        <v>112970</v>
      </c>
      <c r="F22" s="523">
        <v>95</v>
      </c>
      <c r="G22" s="525">
        <v>8604</v>
      </c>
      <c r="H22" s="523">
        <v>2273</v>
      </c>
      <c r="I22" s="523">
        <v>121574</v>
      </c>
      <c r="J22" s="528" t="s">
        <v>25</v>
      </c>
    </row>
    <row r="23" spans="1:12" s="289" customFormat="1" ht="15" customHeight="1" thickBot="1" x14ac:dyDescent="0.25">
      <c r="A23" s="443" t="s">
        <v>13</v>
      </c>
      <c r="B23" s="440">
        <v>45</v>
      </c>
      <c r="C23" s="440">
        <f>B23*72</f>
        <v>3240</v>
      </c>
      <c r="D23" s="440">
        <v>10872</v>
      </c>
      <c r="E23" s="442">
        <v>817504</v>
      </c>
      <c r="F23" s="440">
        <v>7262</v>
      </c>
      <c r="G23" s="442">
        <v>540421</v>
      </c>
      <c r="H23" s="440">
        <v>18179</v>
      </c>
      <c r="I23" s="440">
        <v>1357925</v>
      </c>
      <c r="J23" s="444" t="s">
        <v>22</v>
      </c>
    </row>
    <row r="24" spans="1:12" s="395" customFormat="1" ht="20.25" customHeight="1" thickTop="1" thickBot="1" x14ac:dyDescent="0.25">
      <c r="A24" s="781" t="s">
        <v>0</v>
      </c>
      <c r="B24" s="779">
        <v>22024</v>
      </c>
      <c r="C24" s="779">
        <f>SUM(C9:C23)</f>
        <v>1460940</v>
      </c>
      <c r="D24" s="779">
        <v>202844</v>
      </c>
      <c r="E24" s="782">
        <v>12782729</v>
      </c>
      <c r="F24" s="779">
        <v>106185</v>
      </c>
      <c r="G24" s="782">
        <f>SUM(G9:G23)</f>
        <v>9188867</v>
      </c>
      <c r="H24" s="779">
        <v>331053</v>
      </c>
      <c r="I24" s="779">
        <f>C24+E24+G24</f>
        <v>23432536</v>
      </c>
      <c r="J24" s="783" t="s">
        <v>1</v>
      </c>
    </row>
    <row r="25" spans="1:12" s="6" customFormat="1" ht="20.25" customHeight="1" thickTop="1" x14ac:dyDescent="0.2">
      <c r="A25" s="948"/>
      <c r="B25" s="948"/>
      <c r="C25" s="948"/>
      <c r="D25" s="948"/>
      <c r="E25" s="948"/>
      <c r="F25" s="948"/>
      <c r="G25" s="948"/>
      <c r="H25" s="948"/>
      <c r="I25" s="948"/>
      <c r="J25" s="195"/>
    </row>
    <row r="26" spans="1:12" ht="14.25" x14ac:dyDescent="0.2">
      <c r="C26" s="6"/>
      <c r="D26" s="6"/>
      <c r="E26" s="6"/>
      <c r="F26" s="6"/>
      <c r="G26" s="6"/>
      <c r="I26" s="1"/>
      <c r="J26" s="186"/>
      <c r="K26" s="1"/>
    </row>
    <row r="27" spans="1:12" ht="15" customHeight="1" x14ac:dyDescent="0.25">
      <c r="A27" s="973"/>
      <c r="B27" s="973"/>
      <c r="C27" s="6"/>
      <c r="D27" s="6"/>
      <c r="E27" s="6"/>
      <c r="F27" s="6"/>
      <c r="G27" s="6"/>
      <c r="I27" s="1"/>
      <c r="J27" s="51"/>
      <c r="L27" s="51"/>
    </row>
    <row r="28" spans="1:12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4">
    <mergeCell ref="I3:J3"/>
    <mergeCell ref="A27:B27"/>
    <mergeCell ref="A1:J1"/>
    <mergeCell ref="A4:B4"/>
    <mergeCell ref="A2:J2"/>
    <mergeCell ref="A25:I25"/>
    <mergeCell ref="F6:G6"/>
    <mergeCell ref="F5:G5"/>
    <mergeCell ref="D5:E5"/>
    <mergeCell ref="D6:E6"/>
    <mergeCell ref="B6:C6"/>
    <mergeCell ref="B5:C5"/>
    <mergeCell ref="H7:H8"/>
    <mergeCell ref="H5:I5"/>
  </mergeCells>
  <phoneticPr fontId="3" type="noConversion"/>
  <printOptions horizontalCentered="1" verticalCentered="1"/>
  <pageMargins left="0.25" right="0.63" top="1.1200000000000001" bottom="0.75" header="0.55000000000000004" footer="0.3"/>
  <pageSetup orientation="landscape" verticalDpi="300" r:id="rId1"/>
  <headerFooter alignWithMargins="0">
    <oddFooter>&amp;C40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8"/>
  <sheetViews>
    <sheetView rightToLeft="1" zoomScaleSheetLayoutView="106" workbookViewId="0">
      <selection activeCell="A4" sqref="A4:B4"/>
    </sheetView>
  </sheetViews>
  <sheetFormatPr defaultRowHeight="12.75" x14ac:dyDescent="0.2"/>
  <cols>
    <col min="1" max="1" width="12" customWidth="1"/>
    <col min="2" max="2" width="12.7109375" customWidth="1"/>
    <col min="3" max="3" width="15.7109375" customWidth="1"/>
    <col min="4" max="4" width="11.28515625" customWidth="1"/>
    <col min="5" max="5" width="13.28515625" customWidth="1"/>
    <col min="6" max="6" width="10.5703125" customWidth="1"/>
    <col min="7" max="7" width="11.85546875" customWidth="1"/>
    <col min="8" max="8" width="13.28515625" customWidth="1"/>
    <col min="9" max="9" width="14.85546875" customWidth="1"/>
    <col min="10" max="10" width="16.42578125" customWidth="1"/>
  </cols>
  <sheetData>
    <row r="1" spans="1:13" ht="15" x14ac:dyDescent="0.2">
      <c r="A1" s="991" t="s">
        <v>465</v>
      </c>
      <c r="B1" s="991"/>
      <c r="C1" s="991"/>
      <c r="D1" s="991"/>
      <c r="E1" s="991"/>
      <c r="F1" s="991"/>
      <c r="G1" s="991"/>
      <c r="H1" s="991"/>
      <c r="I1" s="991"/>
      <c r="J1" s="991"/>
    </row>
    <row r="2" spans="1:13" ht="15" x14ac:dyDescent="0.2">
      <c r="A2" s="990" t="s">
        <v>447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3" s="6" customFormat="1" ht="15" x14ac:dyDescent="0.25">
      <c r="A3" s="212"/>
      <c r="B3" s="212"/>
      <c r="C3" s="212"/>
      <c r="D3" s="212"/>
      <c r="E3" s="212"/>
      <c r="F3" s="212"/>
      <c r="G3" s="212"/>
      <c r="H3" s="212"/>
      <c r="I3" s="926" t="s">
        <v>202</v>
      </c>
      <c r="J3" s="926"/>
    </row>
    <row r="4" spans="1:13" ht="14.25" customHeight="1" thickBot="1" x14ac:dyDescent="0.3">
      <c r="A4" s="987" t="s">
        <v>485</v>
      </c>
      <c r="B4" s="987"/>
      <c r="C4" s="987" t="s">
        <v>32</v>
      </c>
      <c r="D4" s="987"/>
      <c r="E4" s="129"/>
      <c r="F4" s="24"/>
      <c r="G4" s="130"/>
      <c r="H4" s="988" t="s">
        <v>322</v>
      </c>
      <c r="I4" s="988"/>
      <c r="J4" s="131" t="s">
        <v>314</v>
      </c>
    </row>
    <row r="5" spans="1:13" ht="15" customHeight="1" x14ac:dyDescent="0.25">
      <c r="A5" s="8"/>
      <c r="B5" s="989" t="s">
        <v>350</v>
      </c>
      <c r="C5" s="989"/>
      <c r="D5" s="989" t="s">
        <v>228</v>
      </c>
      <c r="E5" s="989"/>
      <c r="F5" s="989" t="s">
        <v>48</v>
      </c>
      <c r="G5" s="989"/>
      <c r="H5" s="989" t="s">
        <v>49</v>
      </c>
      <c r="I5" s="989"/>
      <c r="J5" s="132"/>
    </row>
    <row r="6" spans="1:13" ht="15" customHeight="1" x14ac:dyDescent="0.25">
      <c r="A6" s="133"/>
      <c r="B6" s="990" t="s">
        <v>279</v>
      </c>
      <c r="C6" s="990"/>
      <c r="D6" s="990" t="s">
        <v>161</v>
      </c>
      <c r="E6" s="990"/>
      <c r="F6" s="906" t="s">
        <v>280</v>
      </c>
      <c r="G6" s="906"/>
      <c r="H6" s="990" t="s">
        <v>281</v>
      </c>
      <c r="I6" s="990"/>
      <c r="J6" s="133"/>
    </row>
    <row r="7" spans="1:13" ht="15" customHeight="1" x14ac:dyDescent="0.2">
      <c r="A7" s="133"/>
      <c r="B7" s="351" t="s">
        <v>42</v>
      </c>
      <c r="C7" s="351" t="s">
        <v>224</v>
      </c>
      <c r="D7" s="351" t="s">
        <v>42</v>
      </c>
      <c r="E7" s="351" t="s">
        <v>224</v>
      </c>
      <c r="F7" s="351" t="s">
        <v>27</v>
      </c>
      <c r="G7" s="351" t="s">
        <v>224</v>
      </c>
      <c r="H7" s="352" t="s">
        <v>27</v>
      </c>
      <c r="I7" s="352" t="s">
        <v>224</v>
      </c>
      <c r="J7" s="353"/>
    </row>
    <row r="8" spans="1:13" ht="15.75" customHeight="1" thickBot="1" x14ac:dyDescent="0.3">
      <c r="A8" s="859" t="s">
        <v>137</v>
      </c>
      <c r="B8" s="860" t="s">
        <v>43</v>
      </c>
      <c r="C8" s="861" t="s">
        <v>29</v>
      </c>
      <c r="D8" s="861" t="s">
        <v>43</v>
      </c>
      <c r="E8" s="861" t="s">
        <v>29</v>
      </c>
      <c r="F8" s="861" t="s">
        <v>129</v>
      </c>
      <c r="G8" s="861" t="s">
        <v>29</v>
      </c>
      <c r="H8" s="862" t="s">
        <v>129</v>
      </c>
      <c r="I8" s="862" t="s">
        <v>29</v>
      </c>
      <c r="J8" s="863" t="s">
        <v>26</v>
      </c>
      <c r="K8" s="6"/>
      <c r="L8" s="6"/>
      <c r="M8" s="6"/>
    </row>
    <row r="9" spans="1:13" s="3" customFormat="1" ht="24.75" customHeight="1" x14ac:dyDescent="0.2">
      <c r="A9" s="445" t="s">
        <v>356</v>
      </c>
      <c r="B9" s="446">
        <v>50095</v>
      </c>
      <c r="C9" s="446">
        <f>B9*3</f>
        <v>150285</v>
      </c>
      <c r="D9" s="446">
        <v>175</v>
      </c>
      <c r="E9" s="446">
        <f>D9*2</f>
        <v>350</v>
      </c>
      <c r="F9" s="446">
        <v>5356</v>
      </c>
      <c r="G9" s="446">
        <f>F9*50</f>
        <v>267800</v>
      </c>
      <c r="H9" s="446">
        <v>2499</v>
      </c>
      <c r="I9" s="446">
        <f>H9*5</f>
        <v>12495</v>
      </c>
      <c r="J9" s="447" t="s">
        <v>357</v>
      </c>
    </row>
    <row r="10" spans="1:13" s="289" customFormat="1" ht="15" customHeight="1" x14ac:dyDescent="0.2">
      <c r="A10" s="533" t="s">
        <v>30</v>
      </c>
      <c r="B10" s="534">
        <v>165361</v>
      </c>
      <c r="C10" s="534">
        <f>B10*2</f>
        <v>330722</v>
      </c>
      <c r="D10" s="534">
        <v>339</v>
      </c>
      <c r="E10" s="534">
        <f>D10*1</f>
        <v>339</v>
      </c>
      <c r="F10" s="534">
        <v>12924</v>
      </c>
      <c r="G10" s="534">
        <f>F10*43</f>
        <v>555732</v>
      </c>
      <c r="H10" s="534">
        <v>7671</v>
      </c>
      <c r="I10" s="534">
        <f>H10*4</f>
        <v>30684</v>
      </c>
      <c r="J10" s="535" t="s">
        <v>31</v>
      </c>
    </row>
    <row r="11" spans="1:13" s="289" customFormat="1" ht="15" customHeight="1" x14ac:dyDescent="0.2">
      <c r="A11" s="448" t="s">
        <v>3</v>
      </c>
      <c r="B11" s="446">
        <v>140275</v>
      </c>
      <c r="C11" s="446">
        <f>B11*1</f>
        <v>140275</v>
      </c>
      <c r="D11" s="446">
        <v>585</v>
      </c>
      <c r="E11" s="446">
        <f>D11*1</f>
        <v>585</v>
      </c>
      <c r="F11" s="446">
        <v>14479</v>
      </c>
      <c r="G11" s="446">
        <f>F11*50</f>
        <v>723950</v>
      </c>
      <c r="H11" s="446">
        <v>8231</v>
      </c>
      <c r="I11" s="446">
        <f>H11*5</f>
        <v>41155</v>
      </c>
      <c r="J11" s="449" t="s">
        <v>15</v>
      </c>
    </row>
    <row r="12" spans="1:13" s="289" customFormat="1" ht="15" customHeight="1" x14ac:dyDescent="0.2">
      <c r="A12" s="533" t="s">
        <v>342</v>
      </c>
      <c r="B12" s="534">
        <v>97709</v>
      </c>
      <c r="C12" s="534">
        <f>B12*1</f>
        <v>97709</v>
      </c>
      <c r="D12" s="534">
        <v>319</v>
      </c>
      <c r="E12" s="534">
        <f>D12*1</f>
        <v>319</v>
      </c>
      <c r="F12" s="534">
        <v>5862</v>
      </c>
      <c r="G12" s="534">
        <f>F12*69</f>
        <v>404478</v>
      </c>
      <c r="H12" s="534">
        <v>3771</v>
      </c>
      <c r="I12" s="534">
        <f>H12*4</f>
        <v>15084</v>
      </c>
      <c r="J12" s="535" t="s">
        <v>337</v>
      </c>
    </row>
    <row r="13" spans="1:13" s="289" customFormat="1" ht="15" customHeight="1" x14ac:dyDescent="0.2">
      <c r="A13" s="448" t="s">
        <v>4</v>
      </c>
      <c r="B13" s="446">
        <v>1547268</v>
      </c>
      <c r="C13" s="446">
        <f>B13*3</f>
        <v>4641804</v>
      </c>
      <c r="D13" s="446">
        <v>5436</v>
      </c>
      <c r="E13" s="446">
        <f>D13*2</f>
        <v>10872</v>
      </c>
      <c r="F13" s="446">
        <v>154253</v>
      </c>
      <c r="G13" s="446">
        <f>F13*62</f>
        <v>9563686</v>
      </c>
      <c r="H13" s="446">
        <v>70393</v>
      </c>
      <c r="I13" s="446">
        <f>H13*5</f>
        <v>351965</v>
      </c>
      <c r="J13" s="449" t="s">
        <v>16</v>
      </c>
    </row>
    <row r="14" spans="1:13" s="289" customFormat="1" ht="15" customHeight="1" x14ac:dyDescent="0.2">
      <c r="A14" s="536" t="s">
        <v>5</v>
      </c>
      <c r="B14" s="534">
        <v>234455</v>
      </c>
      <c r="C14" s="534">
        <f>B14*1</f>
        <v>234455</v>
      </c>
      <c r="D14" s="534">
        <v>469</v>
      </c>
      <c r="E14" s="534">
        <f>D14*2</f>
        <v>938</v>
      </c>
      <c r="F14" s="534">
        <v>21251</v>
      </c>
      <c r="G14" s="534">
        <f>F14*72</f>
        <v>1530072</v>
      </c>
      <c r="H14" s="534">
        <v>11181</v>
      </c>
      <c r="I14" s="534">
        <f>H14*5</f>
        <v>55905</v>
      </c>
      <c r="J14" s="537" t="s">
        <v>23</v>
      </c>
    </row>
    <row r="15" spans="1:13" s="289" customFormat="1" ht="15" customHeight="1" x14ac:dyDescent="0.2">
      <c r="A15" s="448" t="s">
        <v>6</v>
      </c>
      <c r="B15" s="446">
        <v>112117</v>
      </c>
      <c r="C15" s="446">
        <f>B15*1</f>
        <v>112117</v>
      </c>
      <c r="D15" s="446">
        <v>525</v>
      </c>
      <c r="E15" s="446">
        <f>D15*1</f>
        <v>525</v>
      </c>
      <c r="F15" s="446">
        <v>24895</v>
      </c>
      <c r="G15" s="446">
        <f>F15*52</f>
        <v>1294540</v>
      </c>
      <c r="H15" s="446">
        <v>10256</v>
      </c>
      <c r="I15" s="446">
        <f>H15*4</f>
        <v>41024</v>
      </c>
      <c r="J15" s="449" t="s">
        <v>24</v>
      </c>
    </row>
    <row r="16" spans="1:13" s="289" customFormat="1" ht="15" customHeight="1" x14ac:dyDescent="0.2">
      <c r="A16" s="536" t="s">
        <v>11</v>
      </c>
      <c r="B16" s="534">
        <v>77787</v>
      </c>
      <c r="C16" s="534">
        <f>B16*1</f>
        <v>77787</v>
      </c>
      <c r="D16" s="534">
        <v>222</v>
      </c>
      <c r="E16" s="534">
        <f>D16*1</f>
        <v>222</v>
      </c>
      <c r="F16" s="534">
        <v>8840</v>
      </c>
      <c r="G16" s="534">
        <f>F16*52</f>
        <v>459680</v>
      </c>
      <c r="H16" s="534">
        <v>4436</v>
      </c>
      <c r="I16" s="534">
        <f>H16*4</f>
        <v>17744</v>
      </c>
      <c r="J16" s="537" t="s">
        <v>21</v>
      </c>
    </row>
    <row r="17" spans="1:10" s="289" customFormat="1" ht="15" customHeight="1" x14ac:dyDescent="0.2">
      <c r="A17" s="448" t="s">
        <v>2</v>
      </c>
      <c r="B17" s="446">
        <v>93039</v>
      </c>
      <c r="C17" s="446">
        <f>B17*2</f>
        <v>186078</v>
      </c>
      <c r="D17" s="446">
        <v>236</v>
      </c>
      <c r="E17" s="446">
        <f>D17*1</f>
        <v>236</v>
      </c>
      <c r="F17" s="446">
        <v>5270</v>
      </c>
      <c r="G17" s="446">
        <f>F17*48</f>
        <v>252960</v>
      </c>
      <c r="H17" s="446">
        <v>3071</v>
      </c>
      <c r="I17" s="446">
        <f>H17*5</f>
        <v>15355</v>
      </c>
      <c r="J17" s="449" t="s">
        <v>14</v>
      </c>
    </row>
    <row r="18" spans="1:10" s="289" customFormat="1" ht="15" customHeight="1" x14ac:dyDescent="0.2">
      <c r="A18" s="536" t="s">
        <v>7</v>
      </c>
      <c r="B18" s="534">
        <v>279491</v>
      </c>
      <c r="C18" s="534">
        <f>B18*1</f>
        <v>279491</v>
      </c>
      <c r="D18" s="534">
        <v>962</v>
      </c>
      <c r="E18" s="534">
        <f>D18*2</f>
        <v>1924</v>
      </c>
      <c r="F18" s="534">
        <v>28439</v>
      </c>
      <c r="G18" s="534">
        <f>F18*71</f>
        <v>2019169</v>
      </c>
      <c r="H18" s="534">
        <v>13136</v>
      </c>
      <c r="I18" s="534">
        <f>H18*4</f>
        <v>52544</v>
      </c>
      <c r="J18" s="537" t="s">
        <v>17</v>
      </c>
    </row>
    <row r="19" spans="1:10" s="289" customFormat="1" ht="15" customHeight="1" x14ac:dyDescent="0.2">
      <c r="A19" s="448" t="s">
        <v>8</v>
      </c>
      <c r="B19" s="446">
        <v>203848</v>
      </c>
      <c r="C19" s="446">
        <f>B19*1</f>
        <v>203848</v>
      </c>
      <c r="D19" s="446">
        <v>524</v>
      </c>
      <c r="E19" s="446">
        <f>D19*1</f>
        <v>524</v>
      </c>
      <c r="F19" s="446">
        <v>20578</v>
      </c>
      <c r="G19" s="446">
        <f>F19*51</f>
        <v>1049478</v>
      </c>
      <c r="H19" s="446">
        <v>10613</v>
      </c>
      <c r="I19" s="446">
        <f>H19*5</f>
        <v>53065</v>
      </c>
      <c r="J19" s="449" t="s">
        <v>18</v>
      </c>
    </row>
    <row r="20" spans="1:10" s="289" customFormat="1" ht="15" customHeight="1" x14ac:dyDescent="0.2">
      <c r="A20" s="536" t="s">
        <v>9</v>
      </c>
      <c r="B20" s="534">
        <v>133473</v>
      </c>
      <c r="C20" s="534">
        <f>B20*1</f>
        <v>133473</v>
      </c>
      <c r="D20" s="534">
        <v>291</v>
      </c>
      <c r="E20" s="534">
        <f>D20*2</f>
        <v>582</v>
      </c>
      <c r="F20" s="534">
        <v>16651</v>
      </c>
      <c r="G20" s="534">
        <f>F20*25</f>
        <v>416275</v>
      </c>
      <c r="H20" s="534">
        <v>6090</v>
      </c>
      <c r="I20" s="534">
        <f>H20*4</f>
        <v>24360</v>
      </c>
      <c r="J20" s="537" t="s">
        <v>19</v>
      </c>
    </row>
    <row r="21" spans="1:10" s="289" customFormat="1" ht="15" customHeight="1" x14ac:dyDescent="0.2">
      <c r="A21" s="448" t="s">
        <v>10</v>
      </c>
      <c r="B21" s="446">
        <v>220993</v>
      </c>
      <c r="C21" s="446">
        <f>B21*2</f>
        <v>441986</v>
      </c>
      <c r="D21" s="446">
        <v>589</v>
      </c>
      <c r="E21" s="446">
        <f>D21*2</f>
        <v>1178</v>
      </c>
      <c r="F21" s="446">
        <v>11356</v>
      </c>
      <c r="G21" s="446">
        <f>F21*29</f>
        <v>329324</v>
      </c>
      <c r="H21" s="446">
        <v>6385</v>
      </c>
      <c r="I21" s="446">
        <f>H21*4</f>
        <v>25540</v>
      </c>
      <c r="J21" s="449" t="s">
        <v>20</v>
      </c>
    </row>
    <row r="22" spans="1:10" s="289" customFormat="1" ht="15" customHeight="1" x14ac:dyDescent="0.2">
      <c r="A22" s="536" t="s">
        <v>12</v>
      </c>
      <c r="B22" s="534">
        <v>39041</v>
      </c>
      <c r="C22" s="534">
        <f>B22*1</f>
        <v>39041</v>
      </c>
      <c r="D22" s="534">
        <v>146</v>
      </c>
      <c r="E22" s="534">
        <f>D22*2</f>
        <v>292</v>
      </c>
      <c r="F22" s="534">
        <v>3368</v>
      </c>
      <c r="G22" s="534">
        <f>F22*55</f>
        <v>185240</v>
      </c>
      <c r="H22" s="534">
        <v>1946</v>
      </c>
      <c r="I22" s="534">
        <f>H22*4</f>
        <v>7784</v>
      </c>
      <c r="J22" s="537" t="s">
        <v>25</v>
      </c>
    </row>
    <row r="23" spans="1:10" s="289" customFormat="1" ht="15" customHeight="1" thickBot="1" x14ac:dyDescent="0.25">
      <c r="A23" s="448" t="s">
        <v>13</v>
      </c>
      <c r="B23" s="446">
        <v>127303</v>
      </c>
      <c r="C23" s="446">
        <f>B23*2</f>
        <v>254606</v>
      </c>
      <c r="D23" s="446">
        <v>571</v>
      </c>
      <c r="E23" s="446">
        <f>D23*2</f>
        <v>1142</v>
      </c>
      <c r="F23" s="446">
        <v>16785</v>
      </c>
      <c r="G23" s="446">
        <f>F23*64</f>
        <v>1074240</v>
      </c>
      <c r="H23" s="446">
        <v>6452</v>
      </c>
      <c r="I23" s="446">
        <f>H23*5</f>
        <v>32260</v>
      </c>
      <c r="J23" s="449" t="s">
        <v>22</v>
      </c>
    </row>
    <row r="24" spans="1:10" s="289" customFormat="1" ht="15" customHeight="1" thickTop="1" thickBot="1" x14ac:dyDescent="0.25">
      <c r="A24" s="784" t="s">
        <v>0</v>
      </c>
      <c r="B24" s="785">
        <v>3522255</v>
      </c>
      <c r="C24" s="785">
        <f>SUM(C9:C23)</f>
        <v>7323677</v>
      </c>
      <c r="D24" s="785">
        <v>11389</v>
      </c>
      <c r="E24" s="785">
        <f>SUM(E9:E23)</f>
        <v>20028</v>
      </c>
      <c r="F24" s="785">
        <v>350307</v>
      </c>
      <c r="G24" s="785">
        <f>SUM(G9:G23)</f>
        <v>20126624</v>
      </c>
      <c r="H24" s="785">
        <v>166131</v>
      </c>
      <c r="I24" s="785">
        <f>SUM(I9:I23)</f>
        <v>776964</v>
      </c>
      <c r="J24" s="786" t="s">
        <v>1</v>
      </c>
    </row>
    <row r="25" spans="1:10" s="325" customFormat="1" ht="20.25" customHeight="1" thickTop="1" x14ac:dyDescent="0.2">
      <c r="A25" s="948"/>
      <c r="B25" s="948"/>
      <c r="C25" s="948"/>
      <c r="D25" s="948"/>
      <c r="E25" s="948"/>
      <c r="F25" s="948"/>
      <c r="G25" s="948"/>
      <c r="H25" s="948"/>
      <c r="I25" s="196"/>
      <c r="J25" s="197"/>
    </row>
    <row r="26" spans="1:10" s="6" customFormat="1" ht="20.25" customHeight="1" x14ac:dyDescent="0.2">
      <c r="A26"/>
      <c r="B26"/>
      <c r="H26" s="1"/>
      <c r="I26"/>
      <c r="J26" s="186"/>
    </row>
    <row r="27" spans="1:10" ht="15" x14ac:dyDescent="0.25">
      <c r="A27" s="973"/>
      <c r="B27" s="973"/>
      <c r="C27" s="6"/>
      <c r="D27" s="6"/>
      <c r="E27" s="6"/>
      <c r="F27" s="6"/>
      <c r="G27" s="6"/>
      <c r="H27" s="1"/>
      <c r="I27" s="974"/>
      <c r="J27" s="974"/>
    </row>
    <row r="28" spans="1:10" ht="12.75" customHeight="1" x14ac:dyDescent="0.2"/>
  </sheetData>
  <mergeCells count="17">
    <mergeCell ref="A1:J1"/>
    <mergeCell ref="A4:B4"/>
    <mergeCell ref="A2:J2"/>
    <mergeCell ref="I3:J3"/>
    <mergeCell ref="A27:B27"/>
    <mergeCell ref="I27:J27"/>
    <mergeCell ref="C4:D4"/>
    <mergeCell ref="H4:I4"/>
    <mergeCell ref="A25:H25"/>
    <mergeCell ref="B5:C5"/>
    <mergeCell ref="B6:C6"/>
    <mergeCell ref="F5:G5"/>
    <mergeCell ref="F6:G6"/>
    <mergeCell ref="D5:E5"/>
    <mergeCell ref="D6:E6"/>
    <mergeCell ref="H5:I5"/>
    <mergeCell ref="H6:I6"/>
  </mergeCells>
  <phoneticPr fontId="3" type="noConversion"/>
  <printOptions horizontalCentered="1" verticalCentered="1"/>
  <pageMargins left="0.24" right="0.3" top="1.0416666666666666E-2" bottom="0.75" header="0.3" footer="0.3"/>
  <pageSetup orientation="landscape" verticalDpi="300" r:id="rId1"/>
  <headerFooter alignWithMargins="0">
    <oddFooter>&amp;C41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27"/>
  <sheetViews>
    <sheetView rightToLeft="1" zoomScaleSheetLayoutView="100" workbookViewId="0">
      <selection activeCell="A4" sqref="A4:B4"/>
    </sheetView>
  </sheetViews>
  <sheetFormatPr defaultRowHeight="12.75" x14ac:dyDescent="0.2"/>
  <cols>
    <col min="1" max="1" width="12" customWidth="1"/>
    <col min="2" max="2" width="12.5703125" customWidth="1"/>
    <col min="3" max="3" width="13.7109375" customWidth="1"/>
    <col min="4" max="5" width="14.42578125" customWidth="1"/>
    <col min="6" max="6" width="14.5703125" style="6" customWidth="1"/>
    <col min="7" max="7" width="16" customWidth="1"/>
    <col min="8" max="8" width="15.5703125" customWidth="1"/>
    <col min="9" max="9" width="18" customWidth="1"/>
  </cols>
  <sheetData>
    <row r="1" spans="1:8" ht="15" x14ac:dyDescent="0.2">
      <c r="A1" s="992" t="s">
        <v>442</v>
      </c>
      <c r="B1" s="992"/>
      <c r="C1" s="992"/>
      <c r="D1" s="992"/>
      <c r="E1" s="992"/>
      <c r="F1" s="992"/>
      <c r="G1" s="992"/>
      <c r="H1" s="992"/>
    </row>
    <row r="2" spans="1:8" ht="16.5" customHeight="1" x14ac:dyDescent="0.2">
      <c r="A2" s="993" t="s">
        <v>446</v>
      </c>
      <c r="B2" s="993"/>
      <c r="C2" s="993"/>
      <c r="D2" s="993"/>
      <c r="E2" s="993"/>
      <c r="F2" s="993"/>
      <c r="G2" s="993"/>
      <c r="H2" s="993"/>
    </row>
    <row r="3" spans="1:8" s="6" customFormat="1" ht="16.5" customHeight="1" x14ac:dyDescent="0.25">
      <c r="A3" s="213"/>
      <c r="B3" s="213"/>
      <c r="C3" s="213"/>
      <c r="D3" s="213"/>
      <c r="E3" s="213"/>
      <c r="F3" s="267"/>
      <c r="G3" s="926" t="s">
        <v>477</v>
      </c>
      <c r="H3" s="926"/>
    </row>
    <row r="4" spans="1:8" ht="15" customHeight="1" thickBot="1" x14ac:dyDescent="0.25">
      <c r="A4" s="994" t="s">
        <v>485</v>
      </c>
      <c r="B4" s="994"/>
      <c r="C4" s="996" t="s">
        <v>177</v>
      </c>
      <c r="D4" s="996"/>
      <c r="E4" s="134"/>
      <c r="F4" s="995"/>
      <c r="G4" s="995"/>
      <c r="H4" s="227" t="s">
        <v>314</v>
      </c>
    </row>
    <row r="5" spans="1:8" ht="15" customHeight="1" x14ac:dyDescent="0.2">
      <c r="A5" s="135"/>
      <c r="B5" s="136" t="s">
        <v>46</v>
      </c>
      <c r="C5" s="137"/>
      <c r="D5" s="136" t="s">
        <v>37</v>
      </c>
      <c r="E5" s="136"/>
      <c r="F5" s="997" t="s">
        <v>0</v>
      </c>
      <c r="G5" s="997"/>
      <c r="H5" s="135"/>
    </row>
    <row r="6" spans="1:8" s="6" customFormat="1" ht="28.5" customHeight="1" x14ac:dyDescent="0.2">
      <c r="A6" s="157"/>
      <c r="B6" s="158" t="s">
        <v>242</v>
      </c>
      <c r="C6" s="157"/>
      <c r="D6" s="175" t="s">
        <v>300</v>
      </c>
      <c r="E6" s="158"/>
      <c r="F6" s="998" t="s">
        <v>1</v>
      </c>
      <c r="G6" s="998"/>
      <c r="H6" s="157"/>
    </row>
    <row r="7" spans="1:8" ht="15" customHeight="1" x14ac:dyDescent="0.2">
      <c r="A7" s="138"/>
      <c r="B7" s="790" t="s">
        <v>27</v>
      </c>
      <c r="C7" s="790" t="s">
        <v>224</v>
      </c>
      <c r="D7" s="790" t="s">
        <v>27</v>
      </c>
      <c r="E7" s="790" t="s">
        <v>226</v>
      </c>
      <c r="F7" s="790" t="s">
        <v>27</v>
      </c>
      <c r="G7" s="790" t="s">
        <v>224</v>
      </c>
      <c r="H7" s="157"/>
    </row>
    <row r="8" spans="1:8" s="3" customFormat="1" ht="15" customHeight="1" thickBot="1" x14ac:dyDescent="0.25">
      <c r="A8" s="864" t="s">
        <v>50</v>
      </c>
      <c r="B8" s="865" t="s">
        <v>129</v>
      </c>
      <c r="C8" s="866" t="s">
        <v>29</v>
      </c>
      <c r="D8" s="866" t="s">
        <v>129</v>
      </c>
      <c r="E8" s="866" t="s">
        <v>29</v>
      </c>
      <c r="F8" s="866" t="s">
        <v>129</v>
      </c>
      <c r="G8" s="866" t="s">
        <v>29</v>
      </c>
      <c r="H8" s="867" t="s">
        <v>26</v>
      </c>
    </row>
    <row r="9" spans="1:8" s="289" customFormat="1" ht="15" customHeight="1" x14ac:dyDescent="0.2">
      <c r="A9" s="445" t="s">
        <v>356</v>
      </c>
      <c r="B9" s="446">
        <v>910</v>
      </c>
      <c r="C9" s="446">
        <f>B9*5</f>
        <v>4550</v>
      </c>
      <c r="D9" s="446">
        <v>1077</v>
      </c>
      <c r="E9" s="446">
        <f>D9*100</f>
        <v>107700</v>
      </c>
      <c r="F9" s="446">
        <f>ت.كهربائيه1!B9+ت.كهربائيه1!D9+ت.كهربائيه1!F9+ت.كهربائيه1!H9+ت.كهربائيه2!B9+ت.كهربائيه2!D9</f>
        <v>60112</v>
      </c>
      <c r="G9" s="446">
        <f>ت.كهربائيه1!C9+ت.كهربائيه1!E9+ت.كهربائيه1!G9+ت.كهربائيه1!I9+ت.كهربائيه2!C9+ت.كهربائيه2!E9</f>
        <v>543180</v>
      </c>
      <c r="H9" s="450" t="s">
        <v>357</v>
      </c>
    </row>
    <row r="10" spans="1:8" s="289" customFormat="1" ht="15" customHeight="1" x14ac:dyDescent="0.2">
      <c r="A10" s="708" t="s">
        <v>30</v>
      </c>
      <c r="B10" s="709">
        <v>2726</v>
      </c>
      <c r="C10" s="709">
        <f>B10*4</f>
        <v>10904</v>
      </c>
      <c r="D10" s="709">
        <v>0</v>
      </c>
      <c r="E10" s="709">
        <f>D10*150</f>
        <v>0</v>
      </c>
      <c r="F10" s="709">
        <f>ت.كهربائيه1!B10+ت.كهربائيه1!D10+ت.كهربائيه1!F10+ت.كهربائيه1!H10+ت.كهربائيه2!B10+ت.كهربائيه2!D10</f>
        <v>189021</v>
      </c>
      <c r="G10" s="709">
        <f>ت.كهربائيه1!C10+ت.كهربائيه1!E10+ت.كهربائيه1!G10+ت.كهربائيه1!I10+ت.كهربائيه2!C10+ت.كهربائيه2!E10</f>
        <v>928381</v>
      </c>
      <c r="H10" s="710" t="s">
        <v>31</v>
      </c>
    </row>
    <row r="11" spans="1:8" s="289" customFormat="1" ht="15" customHeight="1" x14ac:dyDescent="0.2">
      <c r="A11" s="448" t="s">
        <v>3</v>
      </c>
      <c r="B11" s="446">
        <v>651</v>
      </c>
      <c r="C11" s="446">
        <f>B11*3</f>
        <v>1953</v>
      </c>
      <c r="D11" s="446">
        <v>0</v>
      </c>
      <c r="E11" s="446">
        <f>D11*200</f>
        <v>0</v>
      </c>
      <c r="F11" s="446">
        <f>ت.كهربائيه1!B11+ت.كهربائيه1!D11+ت.كهربائيه1!F11+ت.كهربائيه1!H11+ت.كهربائيه2!B11+ت.كهربائيه2!D11</f>
        <v>164221</v>
      </c>
      <c r="G11" s="446">
        <f>ت.كهربائيه1!C11+ت.كهربائيه1!E11+ت.كهربائيه1!G11+ت.كهربائيه1!I11+ت.كهربائيه2!C11+ت.كهربائيه2!E11</f>
        <v>907918</v>
      </c>
      <c r="H11" s="450" t="s">
        <v>15</v>
      </c>
    </row>
    <row r="12" spans="1:8" s="289" customFormat="1" ht="15" customHeight="1" x14ac:dyDescent="0.2">
      <c r="A12" s="708" t="s">
        <v>342</v>
      </c>
      <c r="B12" s="709">
        <v>1704</v>
      </c>
      <c r="C12" s="709">
        <f>B12*5</f>
        <v>8520</v>
      </c>
      <c r="D12" s="709">
        <v>0</v>
      </c>
      <c r="E12" s="709">
        <f>D12*171</f>
        <v>0</v>
      </c>
      <c r="F12" s="709">
        <f>ت.كهربائيه1!B12+ت.كهربائيه1!D12+ت.كهربائيه1!F12+ت.كهربائيه1!H12+ت.كهربائيه2!B12+ت.كهربائيه2!D12</f>
        <v>109365</v>
      </c>
      <c r="G12" s="709">
        <f>ت.كهربائيه1!C12+ت.كهربائيه1!E12+ت.كهربائيه1!G12+ت.كهربائيه1!I12+ت.كهربائيه2!C12+ت.كهربائيه2!E12</f>
        <v>526110</v>
      </c>
      <c r="H12" s="710" t="s">
        <v>337</v>
      </c>
    </row>
    <row r="13" spans="1:8" s="289" customFormat="1" ht="15" customHeight="1" x14ac:dyDescent="0.2">
      <c r="A13" s="448" t="s">
        <v>4</v>
      </c>
      <c r="B13" s="446">
        <v>29633</v>
      </c>
      <c r="C13" s="446">
        <f>B13*4</f>
        <v>118532</v>
      </c>
      <c r="D13" s="446">
        <v>4180</v>
      </c>
      <c r="E13" s="446">
        <f>D13*125</f>
        <v>522500</v>
      </c>
      <c r="F13" s="446">
        <f>ت.كهربائيه1!B13+ت.كهربائيه1!D13+ت.كهربائيه1!F13+ت.كهربائيه1!H13+ت.كهربائيه2!B13+ت.كهربائيه2!D13</f>
        <v>1811163</v>
      </c>
      <c r="G13" s="446">
        <f>ت.كهربائيه1!C13+ت.كهربائيه1!E13+ت.كهربائيه1!G13+ت.كهربائيه1!I13+ت.كهربائيه2!C13+ت.كهربائيه2!E13</f>
        <v>15209359</v>
      </c>
      <c r="H13" s="450" t="s">
        <v>16</v>
      </c>
    </row>
    <row r="14" spans="1:8" s="289" customFormat="1" ht="15" customHeight="1" x14ac:dyDescent="0.2">
      <c r="A14" s="711" t="s">
        <v>5</v>
      </c>
      <c r="B14" s="709">
        <v>3151</v>
      </c>
      <c r="C14" s="709">
        <f>B14*5</f>
        <v>15755</v>
      </c>
      <c r="D14" s="709">
        <v>0</v>
      </c>
      <c r="E14" s="709">
        <f>D14*120</f>
        <v>0</v>
      </c>
      <c r="F14" s="709">
        <f>ت.كهربائيه1!B14+ت.كهربائيه1!D14+ت.كهربائيه1!F14+ت.كهربائيه1!H14+ت.كهربائيه2!B14+ت.كهربائيه2!D14</f>
        <v>270507</v>
      </c>
      <c r="G14" s="709">
        <f>ت.كهربائيه1!C14+ت.كهربائيه1!E14+ت.كهربائيه1!G14+ت.كهربائيه1!I14+ت.كهربائيه2!C14+ت.كهربائيه2!E14</f>
        <v>1837125</v>
      </c>
      <c r="H14" s="710" t="s">
        <v>23</v>
      </c>
    </row>
    <row r="15" spans="1:8" s="289" customFormat="1" ht="15" customHeight="1" x14ac:dyDescent="0.2">
      <c r="A15" s="448" t="s">
        <v>6</v>
      </c>
      <c r="B15" s="446">
        <v>3841</v>
      </c>
      <c r="C15" s="446">
        <f>B15*4</f>
        <v>15364</v>
      </c>
      <c r="D15" s="446">
        <v>753</v>
      </c>
      <c r="E15" s="446">
        <f>D15*139</f>
        <v>104667</v>
      </c>
      <c r="F15" s="446">
        <f>ت.كهربائيه1!B15+ت.كهربائيه1!D15+ت.كهربائيه1!F15+ت.كهربائيه1!H15+ت.كهربائيه2!B15+ت.كهربائيه2!D15</f>
        <v>152387</v>
      </c>
      <c r="G15" s="446">
        <f>ت.كهربائيه1!C15+ت.كهربائيه1!E15+ت.كهربائيه1!G15+ت.كهربائيه1!I15+ت.كهربائيه2!C15+ت.كهربائيه2!E15</f>
        <v>1568237</v>
      </c>
      <c r="H15" s="450" t="s">
        <v>24</v>
      </c>
    </row>
    <row r="16" spans="1:8" s="289" customFormat="1" ht="15" customHeight="1" x14ac:dyDescent="0.2">
      <c r="A16" s="711" t="s">
        <v>11</v>
      </c>
      <c r="B16" s="709">
        <v>1279</v>
      </c>
      <c r="C16" s="709">
        <f>B16*5</f>
        <v>6395</v>
      </c>
      <c r="D16" s="709">
        <v>0</v>
      </c>
      <c r="E16" s="709">
        <f>D16*100</f>
        <v>0</v>
      </c>
      <c r="F16" s="709">
        <f>ت.كهربائيه1!B16+ت.كهربائيه1!D16+ت.كهربائيه1!F16+ت.كهربائيه1!H16+ت.كهربائيه2!B16+ت.كهربائيه2!D16</f>
        <v>92564</v>
      </c>
      <c r="G16" s="709">
        <f>ت.كهربائيه1!C16+ت.كهربائيه1!E16+ت.كهربائيه1!G16+ت.كهربائيه1!I16+ت.كهربائيه2!C16+ت.كهربائيه2!E16</f>
        <v>561828</v>
      </c>
      <c r="H16" s="710" t="s">
        <v>21</v>
      </c>
    </row>
    <row r="17" spans="1:11" s="289" customFormat="1" ht="15.75" customHeight="1" x14ac:dyDescent="0.2">
      <c r="A17" s="448" t="s">
        <v>2</v>
      </c>
      <c r="B17" s="446">
        <v>736</v>
      </c>
      <c r="C17" s="446">
        <f>B17*3</f>
        <v>2208</v>
      </c>
      <c r="D17" s="446">
        <v>0</v>
      </c>
      <c r="E17" s="446">
        <f>D17*100</f>
        <v>0</v>
      </c>
      <c r="F17" s="446">
        <f>ت.كهربائيه1!B17+ت.كهربائيه1!D17+ت.كهربائيه1!F17+ت.كهربائيه1!H17+ت.كهربائيه2!B17+ت.كهربائيه2!D17</f>
        <v>102352</v>
      </c>
      <c r="G17" s="446">
        <f>ت.كهربائيه1!C17+ت.كهربائيه1!E17+ت.كهربائيه1!G17+ت.كهربائيه1!I17+ت.كهربائيه2!C17+ت.كهربائيه2!E17</f>
        <v>456837</v>
      </c>
      <c r="H17" s="450" t="s">
        <v>14</v>
      </c>
    </row>
    <row r="18" spans="1:11" s="289" customFormat="1" ht="15" customHeight="1" x14ac:dyDescent="0.2">
      <c r="A18" s="711" t="s">
        <v>7</v>
      </c>
      <c r="B18" s="709">
        <v>5037</v>
      </c>
      <c r="C18" s="709">
        <f>B18*4</f>
        <v>20148</v>
      </c>
      <c r="D18" s="709">
        <v>8734</v>
      </c>
      <c r="E18" s="709">
        <f>D18*150</f>
        <v>1310100</v>
      </c>
      <c r="F18" s="709">
        <f>ت.كهربائيه1!B18+ت.كهربائيه1!D18+ت.كهربائيه1!F18+ت.كهربائيه1!H18+ت.كهربائيه2!B18+ت.كهربائيه2!D18</f>
        <v>335799</v>
      </c>
      <c r="G18" s="709">
        <f>ت.كهربائيه1!C18+ت.كهربائيه1!E18+ت.كهربائيه1!G18+ت.كهربائيه1!I18+ت.كهربائيه2!C18+ت.كهربائيه2!E18</f>
        <v>3683376</v>
      </c>
      <c r="H18" s="710" t="s">
        <v>17</v>
      </c>
    </row>
    <row r="19" spans="1:11" s="289" customFormat="1" ht="15" customHeight="1" x14ac:dyDescent="0.2">
      <c r="A19" s="448" t="s">
        <v>8</v>
      </c>
      <c r="B19" s="446">
        <v>3777</v>
      </c>
      <c r="C19" s="446">
        <f>B19*4</f>
        <v>15108</v>
      </c>
      <c r="D19" s="446">
        <v>0</v>
      </c>
      <c r="E19" s="446">
        <f>D19*100</f>
        <v>0</v>
      </c>
      <c r="F19" s="446">
        <f>ت.كهربائيه1!B19+ت.كهربائيه1!D19+ت.كهربائيه1!F19+ت.كهربائيه1!H19+ت.كهربائيه2!B19+ت.كهربائيه2!D19</f>
        <v>239340</v>
      </c>
      <c r="G19" s="446">
        <f>ت.كهربائيه1!C19+ت.كهربائيه1!E19+ت.كهربائيه1!G19+ت.كهربائيه1!I19+ت.كهربائيه2!C19+ت.كهربائيه2!E19</f>
        <v>1322023</v>
      </c>
      <c r="H19" s="450" t="s">
        <v>18</v>
      </c>
    </row>
    <row r="20" spans="1:11" s="289" customFormat="1" ht="15" customHeight="1" x14ac:dyDescent="0.2">
      <c r="A20" s="711" t="s">
        <v>9</v>
      </c>
      <c r="B20" s="709">
        <v>3096</v>
      </c>
      <c r="C20" s="709">
        <f>B20*4</f>
        <v>12384</v>
      </c>
      <c r="D20" s="709">
        <v>0</v>
      </c>
      <c r="E20" s="709">
        <f>D20*150</f>
        <v>0</v>
      </c>
      <c r="F20" s="709">
        <f>ت.كهربائيه1!B20+ت.كهربائيه1!D20+ت.كهربائيه1!F20+ت.كهربائيه1!H20+ت.كهربائيه2!B20+ت.كهربائيه2!D20</f>
        <v>159601</v>
      </c>
      <c r="G20" s="709">
        <f>ت.كهربائيه1!C20+ت.كهربائيه1!E20+ت.كهربائيه1!G20+ت.كهربائيه1!I20+ت.كهربائيه2!C20+ت.كهربائيه2!E20</f>
        <v>587074</v>
      </c>
      <c r="H20" s="710" t="s">
        <v>19</v>
      </c>
    </row>
    <row r="21" spans="1:11" s="289" customFormat="1" ht="15" customHeight="1" x14ac:dyDescent="0.2">
      <c r="A21" s="448" t="s">
        <v>10</v>
      </c>
      <c r="B21" s="446">
        <v>3547</v>
      </c>
      <c r="C21" s="446">
        <f>B21*5</f>
        <v>17735</v>
      </c>
      <c r="D21" s="446">
        <v>0</v>
      </c>
      <c r="E21" s="446">
        <f>D21*175</f>
        <v>0</v>
      </c>
      <c r="F21" s="446">
        <f>ت.كهربائيه1!B21+ت.كهربائيه1!D21+ت.كهربائيه1!F21+ت.كهربائيه1!H21+ت.كهربائيه2!B21+ت.كهربائيه2!D21</f>
        <v>242870</v>
      </c>
      <c r="G21" s="446">
        <f>ت.كهربائيه1!C21+ت.كهربائيه1!E21+ت.كهربائيه1!G21+ت.كهربائيه1!I21+ت.كهربائيه2!C21+ت.كهربائيه2!E21</f>
        <v>815763</v>
      </c>
      <c r="H21" s="450" t="s">
        <v>20</v>
      </c>
    </row>
    <row r="22" spans="1:11" s="289" customFormat="1" ht="15" customHeight="1" x14ac:dyDescent="0.2">
      <c r="A22" s="711" t="s">
        <v>12</v>
      </c>
      <c r="B22" s="709">
        <v>607</v>
      </c>
      <c r="C22" s="709">
        <f>B22*4</f>
        <v>2428</v>
      </c>
      <c r="D22" s="709">
        <v>0</v>
      </c>
      <c r="E22" s="709">
        <f>D22*175</f>
        <v>0</v>
      </c>
      <c r="F22" s="709">
        <f>ت.كهربائيه1!B22+ت.كهربائيه1!D22+ت.كهربائيه1!F22+ت.كهربائيه1!H22+ت.كهربائيه2!B22+ت.كهربائيه2!D22</f>
        <v>45108</v>
      </c>
      <c r="G22" s="709">
        <f>ت.كهربائيه1!C22+ت.كهربائيه1!E22+ت.كهربائيه1!G22+ت.كهربائيه1!I22+ت.كهربائيه2!C22+ت.كهربائيه2!E22</f>
        <v>234785</v>
      </c>
      <c r="H22" s="710" t="s">
        <v>25</v>
      </c>
    </row>
    <row r="23" spans="1:11" s="289" customFormat="1" ht="15" customHeight="1" thickBot="1" x14ac:dyDescent="0.25">
      <c r="A23" s="448" t="s">
        <v>13</v>
      </c>
      <c r="B23" s="446">
        <v>603</v>
      </c>
      <c r="C23" s="446">
        <f>B23*5</f>
        <v>3015</v>
      </c>
      <c r="D23" s="446">
        <v>0</v>
      </c>
      <c r="E23" s="446">
        <f>D23*175</f>
        <v>0</v>
      </c>
      <c r="F23" s="446">
        <f>ت.كهربائيه1!B23+ت.كهربائيه1!D23+ت.كهربائيه1!F23+ت.كهربائيه1!H23+ت.كهربائيه2!B23+ت.كهربائيه2!D23</f>
        <v>151714</v>
      </c>
      <c r="G23" s="446">
        <f>ت.كهربائيه1!C23+ت.كهربائيه1!E23+ت.كهربائيه1!G23+ت.كهربائيه1!I23+ت.كهربائيه2!C23+ت.كهربائيه2!E23</f>
        <v>1365263</v>
      </c>
      <c r="H23" s="450" t="s">
        <v>22</v>
      </c>
    </row>
    <row r="24" spans="1:11" s="395" customFormat="1" ht="16.5" customHeight="1" thickTop="1" thickBot="1" x14ac:dyDescent="0.25">
      <c r="A24" s="787" t="s">
        <v>0</v>
      </c>
      <c r="B24" s="788">
        <v>61298</v>
      </c>
      <c r="C24" s="788">
        <f>SUM(C9:C23)</f>
        <v>254999</v>
      </c>
      <c r="D24" s="788">
        <v>14744</v>
      </c>
      <c r="E24" s="788">
        <f>SUM(E9:E23)</f>
        <v>2044967</v>
      </c>
      <c r="F24" s="788">
        <f>SUM(F9:F23)</f>
        <v>4126124</v>
      </c>
      <c r="G24" s="788">
        <f>SUM(G9:G23)</f>
        <v>30547259</v>
      </c>
      <c r="H24" s="789" t="s">
        <v>1</v>
      </c>
    </row>
    <row r="25" spans="1:11" s="151" customFormat="1" ht="16.5" customHeight="1" thickTop="1" x14ac:dyDescent="0.2">
      <c r="A25" s="948"/>
      <c r="B25" s="948"/>
      <c r="C25" s="948"/>
      <c r="D25" s="948"/>
      <c r="E25" s="948"/>
      <c r="F25" s="948"/>
      <c r="G25" s="948"/>
      <c r="H25" s="948"/>
    </row>
    <row r="26" spans="1:11" ht="14.25" x14ac:dyDescent="0.2">
      <c r="C26" s="6"/>
      <c r="D26" s="6"/>
      <c r="E26" s="6"/>
      <c r="G26" s="173"/>
      <c r="H26" s="186"/>
      <c r="I26" s="6"/>
      <c r="J26" s="6"/>
      <c r="K26" s="6"/>
    </row>
    <row r="27" spans="1:11" ht="15" x14ac:dyDescent="0.25">
      <c r="A27" s="973"/>
      <c r="B27" s="973"/>
      <c r="C27" s="6"/>
      <c r="D27" s="6"/>
      <c r="E27" s="6"/>
      <c r="G27" s="6"/>
      <c r="H27" s="55"/>
      <c r="I27" s="6"/>
      <c r="J27" s="6"/>
      <c r="K27" s="72"/>
    </row>
  </sheetData>
  <mergeCells count="10">
    <mergeCell ref="G3:H3"/>
    <mergeCell ref="A27:B27"/>
    <mergeCell ref="A1:H1"/>
    <mergeCell ref="A2:H2"/>
    <mergeCell ref="A4:B4"/>
    <mergeCell ref="F4:G4"/>
    <mergeCell ref="C4:D4"/>
    <mergeCell ref="A25:H25"/>
    <mergeCell ref="F5:G5"/>
    <mergeCell ref="F6:G6"/>
  </mergeCells>
  <phoneticPr fontId="3" type="noConversion"/>
  <printOptions horizontalCentered="1" verticalCentered="1"/>
  <pageMargins left="0.23622047244094491" right="0.86" top="3.937007874015748E-2" bottom="0.74803149606299213" header="0.31496062992125984" footer="0.31496062992125984"/>
  <pageSetup orientation="landscape" verticalDpi="300" r:id="rId1"/>
  <headerFooter alignWithMargins="0">
    <oddFooter>&amp;C42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7"/>
  <sheetViews>
    <sheetView rightToLeft="1" zoomScaleSheetLayoutView="93" workbookViewId="0">
      <selection activeCell="A4" sqref="A4:B4"/>
    </sheetView>
  </sheetViews>
  <sheetFormatPr defaultRowHeight="12.75" x14ac:dyDescent="0.2"/>
  <cols>
    <col min="1" max="1" width="9.42578125" customWidth="1"/>
    <col min="2" max="2" width="8.28515625" customWidth="1"/>
    <col min="3" max="3" width="10.85546875" customWidth="1"/>
    <col min="4" max="4" width="7.42578125" customWidth="1"/>
    <col min="5" max="5" width="11.5703125" customWidth="1"/>
    <col min="6" max="6" width="7.5703125" customWidth="1"/>
    <col min="7" max="7" width="10.7109375" customWidth="1"/>
    <col min="8" max="8" width="7.42578125" customWidth="1"/>
    <col min="9" max="9" width="13.140625" customWidth="1"/>
    <col min="10" max="10" width="10.28515625" customWidth="1"/>
    <col min="11" max="11" width="12.42578125" customWidth="1"/>
    <col min="12" max="12" width="14" customWidth="1"/>
    <col min="13" max="13" width="0.28515625" hidden="1" customWidth="1"/>
    <col min="14" max="14" width="0" hidden="1" customWidth="1"/>
    <col min="15" max="15" width="0.28515625" hidden="1" customWidth="1"/>
    <col min="16" max="16" width="0.140625" hidden="1" customWidth="1"/>
    <col min="17" max="17" width="0" hidden="1" customWidth="1"/>
    <col min="18" max="18" width="0.5703125" hidden="1" customWidth="1"/>
  </cols>
  <sheetData>
    <row r="1" spans="1:21" ht="15" x14ac:dyDescent="0.2">
      <c r="A1" s="999" t="s">
        <v>442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</row>
    <row r="2" spans="1:21" ht="15" x14ac:dyDescent="0.2">
      <c r="A2" s="1000" t="s">
        <v>433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</row>
    <row r="3" spans="1:21" s="3" customFormat="1" ht="15" x14ac:dyDescent="0.25">
      <c r="A3" s="725"/>
      <c r="B3" s="725"/>
      <c r="C3" s="725"/>
      <c r="D3" s="725"/>
      <c r="E3" s="725"/>
      <c r="F3" s="725"/>
      <c r="G3" s="725"/>
      <c r="H3" s="725"/>
      <c r="I3" s="725"/>
      <c r="J3" s="725"/>
      <c r="K3" s="1003" t="s">
        <v>477</v>
      </c>
      <c r="L3" s="1003"/>
    </row>
    <row r="4" spans="1:21" s="3" customFormat="1" ht="18" customHeight="1" thickBot="1" x14ac:dyDescent="0.3">
      <c r="A4" s="1002" t="s">
        <v>485</v>
      </c>
      <c r="B4" s="1002"/>
      <c r="C4" s="1002" t="s">
        <v>171</v>
      </c>
      <c r="D4" s="1002"/>
      <c r="E4" s="1002"/>
      <c r="F4" s="24"/>
      <c r="G4" s="24"/>
      <c r="H4" s="988" t="s">
        <v>323</v>
      </c>
      <c r="I4" s="988"/>
      <c r="J4" s="988"/>
      <c r="K4" s="988"/>
      <c r="L4" s="140" t="s">
        <v>314</v>
      </c>
      <c r="M4"/>
      <c r="N4"/>
      <c r="O4"/>
      <c r="P4"/>
      <c r="Q4"/>
      <c r="R4"/>
      <c r="S4"/>
      <c r="T4"/>
      <c r="U4"/>
    </row>
    <row r="5" spans="1:21" s="3" customFormat="1" ht="15" customHeight="1" x14ac:dyDescent="0.25">
      <c r="A5" s="730"/>
      <c r="B5" s="1001" t="s">
        <v>232</v>
      </c>
      <c r="C5" s="1001"/>
      <c r="D5" s="1001" t="s">
        <v>231</v>
      </c>
      <c r="E5" s="1001"/>
      <c r="F5" s="1001" t="s">
        <v>229</v>
      </c>
      <c r="G5" s="1001"/>
      <c r="H5" s="731" t="s">
        <v>55</v>
      </c>
      <c r="I5" s="732"/>
      <c r="J5" s="733" t="s">
        <v>47</v>
      </c>
      <c r="K5" s="733"/>
      <c r="L5" s="730"/>
      <c r="M5"/>
      <c r="N5"/>
      <c r="O5"/>
      <c r="P5"/>
      <c r="Q5"/>
      <c r="R5"/>
      <c r="S5"/>
      <c r="T5"/>
      <c r="U5"/>
    </row>
    <row r="6" spans="1:21" s="3" customFormat="1" ht="15" customHeight="1" x14ac:dyDescent="0.25">
      <c r="A6" s="41"/>
      <c r="B6" s="1004" t="s">
        <v>282</v>
      </c>
      <c r="C6" s="1004"/>
      <c r="D6" s="1005" t="s">
        <v>248</v>
      </c>
      <c r="E6" s="1005"/>
      <c r="F6" s="1004" t="s">
        <v>230</v>
      </c>
      <c r="G6" s="1004"/>
      <c r="H6" s="66" t="s">
        <v>283</v>
      </c>
      <c r="I6" s="66"/>
      <c r="J6" s="141" t="s">
        <v>284</v>
      </c>
      <c r="K6" s="139"/>
      <c r="L6" s="41"/>
      <c r="M6"/>
      <c r="N6"/>
      <c r="O6"/>
      <c r="P6"/>
      <c r="Q6"/>
      <c r="R6"/>
      <c r="S6"/>
      <c r="T6"/>
      <c r="U6"/>
    </row>
    <row r="7" spans="1:21" s="325" customFormat="1" ht="15" customHeight="1" x14ac:dyDescent="0.2">
      <c r="A7" s="358"/>
      <c r="B7" s="358" t="s">
        <v>27</v>
      </c>
      <c r="C7" s="358" t="s">
        <v>224</v>
      </c>
      <c r="D7" s="358" t="s">
        <v>27</v>
      </c>
      <c r="E7" s="359" t="s">
        <v>224</v>
      </c>
      <c r="F7" s="358" t="s">
        <v>27</v>
      </c>
      <c r="G7" s="358" t="s">
        <v>224</v>
      </c>
      <c r="H7" s="360" t="s">
        <v>27</v>
      </c>
      <c r="I7" s="360" t="s">
        <v>224</v>
      </c>
      <c r="J7" s="358" t="s">
        <v>27</v>
      </c>
      <c r="K7" s="358" t="s">
        <v>224</v>
      </c>
      <c r="L7" s="361"/>
    </row>
    <row r="8" spans="1:21" s="151" customFormat="1" ht="15" customHeight="1" thickBot="1" x14ac:dyDescent="0.25">
      <c r="A8" s="354" t="s">
        <v>50</v>
      </c>
      <c r="B8" s="355" t="s">
        <v>129</v>
      </c>
      <c r="C8" s="355" t="s">
        <v>29</v>
      </c>
      <c r="D8" s="355" t="s">
        <v>129</v>
      </c>
      <c r="E8" s="355" t="s">
        <v>29</v>
      </c>
      <c r="F8" s="355" t="s">
        <v>129</v>
      </c>
      <c r="G8" s="355" t="s">
        <v>29</v>
      </c>
      <c r="H8" s="356" t="s">
        <v>129</v>
      </c>
      <c r="I8" s="356" t="s">
        <v>29</v>
      </c>
      <c r="J8" s="354" t="s">
        <v>129</v>
      </c>
      <c r="K8" s="354" t="s">
        <v>29</v>
      </c>
      <c r="L8" s="357" t="s">
        <v>26</v>
      </c>
    </row>
    <row r="9" spans="1:21" s="289" customFormat="1" ht="15" customHeight="1" thickTop="1" x14ac:dyDescent="0.25">
      <c r="A9" s="451" t="s">
        <v>356</v>
      </c>
      <c r="B9" s="452">
        <v>203</v>
      </c>
      <c r="C9" s="452">
        <v>4270</v>
      </c>
      <c r="D9" s="452">
        <v>68</v>
      </c>
      <c r="E9" s="452">
        <v>19095</v>
      </c>
      <c r="F9" s="452">
        <v>197</v>
      </c>
      <c r="G9" s="452">
        <f>F9*25</f>
        <v>4925</v>
      </c>
      <c r="H9" s="453">
        <v>100</v>
      </c>
      <c r="I9" s="453">
        <f>H9*10</f>
        <v>1000</v>
      </c>
      <c r="J9" s="452">
        <v>148</v>
      </c>
      <c r="K9" s="452">
        <f>J9*33</f>
        <v>4884</v>
      </c>
      <c r="L9" s="454" t="s">
        <v>357</v>
      </c>
      <c r="M9" s="455"/>
    </row>
    <row r="10" spans="1:21" s="289" customFormat="1" ht="15" customHeight="1" x14ac:dyDescent="0.25">
      <c r="A10" s="533" t="s">
        <v>30</v>
      </c>
      <c r="B10" s="538">
        <v>524</v>
      </c>
      <c r="C10" s="538">
        <f>B10*55</f>
        <v>28820</v>
      </c>
      <c r="D10" s="538">
        <v>260</v>
      </c>
      <c r="E10" s="538">
        <v>64203</v>
      </c>
      <c r="F10" s="538">
        <v>514</v>
      </c>
      <c r="G10" s="538">
        <f>F10*25</f>
        <v>12850</v>
      </c>
      <c r="H10" s="539">
        <v>210</v>
      </c>
      <c r="I10" s="539">
        <f>H10*9</f>
        <v>1890</v>
      </c>
      <c r="J10" s="538">
        <v>332</v>
      </c>
      <c r="K10" s="538">
        <f>J10*15</f>
        <v>4980</v>
      </c>
      <c r="L10" s="540" t="s">
        <v>31</v>
      </c>
      <c r="M10" s="455"/>
    </row>
    <row r="11" spans="1:21" s="289" customFormat="1" ht="15" customHeight="1" x14ac:dyDescent="0.25">
      <c r="A11" s="448" t="s">
        <v>3</v>
      </c>
      <c r="B11" s="456">
        <v>703</v>
      </c>
      <c r="C11" s="456">
        <v>1855</v>
      </c>
      <c r="D11" s="456">
        <v>611</v>
      </c>
      <c r="E11" s="456">
        <v>140640</v>
      </c>
      <c r="F11" s="456">
        <v>698</v>
      </c>
      <c r="G11" s="456">
        <f>F11*25</f>
        <v>17450</v>
      </c>
      <c r="H11" s="457">
        <v>2</v>
      </c>
      <c r="I11" s="457">
        <f>H11*10</f>
        <v>20</v>
      </c>
      <c r="J11" s="456">
        <v>537</v>
      </c>
      <c r="K11" s="456">
        <v>1284</v>
      </c>
      <c r="L11" s="450" t="s">
        <v>15</v>
      </c>
      <c r="M11" s="455"/>
    </row>
    <row r="12" spans="1:21" s="289" customFormat="1" ht="15" customHeight="1" x14ac:dyDescent="0.25">
      <c r="A12" s="533" t="s">
        <v>342</v>
      </c>
      <c r="B12" s="538">
        <v>369</v>
      </c>
      <c r="C12" s="538">
        <v>248</v>
      </c>
      <c r="D12" s="538">
        <v>104</v>
      </c>
      <c r="E12" s="538">
        <v>26715</v>
      </c>
      <c r="F12" s="538">
        <v>349</v>
      </c>
      <c r="G12" s="538">
        <f>F12*28</f>
        <v>9772</v>
      </c>
      <c r="H12" s="539">
        <v>1</v>
      </c>
      <c r="I12" s="539">
        <f>H12*10</f>
        <v>10</v>
      </c>
      <c r="J12" s="538">
        <v>248</v>
      </c>
      <c r="K12" s="538">
        <f>J12*25</f>
        <v>6200</v>
      </c>
      <c r="L12" s="540" t="s">
        <v>337</v>
      </c>
      <c r="M12" s="455"/>
    </row>
    <row r="13" spans="1:21" s="289" customFormat="1" ht="15" customHeight="1" x14ac:dyDescent="0.25">
      <c r="A13" s="448" t="s">
        <v>4</v>
      </c>
      <c r="B13" s="456">
        <v>5532</v>
      </c>
      <c r="C13" s="456">
        <v>5202</v>
      </c>
      <c r="D13" s="456">
        <v>4659</v>
      </c>
      <c r="E13" s="456">
        <v>1149977</v>
      </c>
      <c r="F13" s="456">
        <v>5466</v>
      </c>
      <c r="G13" s="456">
        <v>7488</v>
      </c>
      <c r="H13" s="457">
        <v>10198</v>
      </c>
      <c r="I13" s="457">
        <v>10433</v>
      </c>
      <c r="J13" s="456">
        <v>5618</v>
      </c>
      <c r="K13" s="456">
        <f>J13*39</f>
        <v>219102</v>
      </c>
      <c r="L13" s="450" t="s">
        <v>16</v>
      </c>
      <c r="M13" s="455"/>
    </row>
    <row r="14" spans="1:21" s="289" customFormat="1" ht="15" customHeight="1" x14ac:dyDescent="0.25">
      <c r="A14" s="536" t="s">
        <v>5</v>
      </c>
      <c r="B14" s="538">
        <v>1207</v>
      </c>
      <c r="C14" s="538">
        <v>34204</v>
      </c>
      <c r="D14" s="538">
        <v>322</v>
      </c>
      <c r="E14" s="538">
        <f>D14*225</f>
        <v>72450</v>
      </c>
      <c r="F14" s="538">
        <v>730</v>
      </c>
      <c r="G14" s="538">
        <v>2305</v>
      </c>
      <c r="H14" s="539">
        <v>517</v>
      </c>
      <c r="I14" s="539">
        <f>H14*12</f>
        <v>6204</v>
      </c>
      <c r="J14" s="538">
        <v>509</v>
      </c>
      <c r="K14" s="538">
        <f>J14*25</f>
        <v>12725</v>
      </c>
      <c r="L14" s="540" t="s">
        <v>23</v>
      </c>
      <c r="M14" s="455"/>
    </row>
    <row r="15" spans="1:21" s="289" customFormat="1" ht="17.25" customHeight="1" x14ac:dyDescent="0.25">
      <c r="A15" s="448" t="s">
        <v>6</v>
      </c>
      <c r="B15" s="456">
        <v>916</v>
      </c>
      <c r="C15" s="456">
        <v>90955</v>
      </c>
      <c r="D15" s="456">
        <v>102</v>
      </c>
      <c r="E15" s="456">
        <f>D15*160</f>
        <v>16320</v>
      </c>
      <c r="F15" s="456">
        <v>881</v>
      </c>
      <c r="G15" s="456">
        <v>14393</v>
      </c>
      <c r="H15" s="457">
        <v>102</v>
      </c>
      <c r="I15" s="457">
        <f>H15*10</f>
        <v>1020</v>
      </c>
      <c r="J15" s="456">
        <v>688</v>
      </c>
      <c r="K15" s="456">
        <f>J15*24</f>
        <v>16512</v>
      </c>
      <c r="L15" s="450" t="s">
        <v>24</v>
      </c>
      <c r="M15" s="455"/>
    </row>
    <row r="16" spans="1:21" s="289" customFormat="1" ht="18.75" customHeight="1" x14ac:dyDescent="0.25">
      <c r="A16" s="536" t="s">
        <v>11</v>
      </c>
      <c r="B16" s="538">
        <v>392</v>
      </c>
      <c r="C16" s="538">
        <f>B16*26</f>
        <v>10192</v>
      </c>
      <c r="D16" s="538">
        <v>54</v>
      </c>
      <c r="E16" s="538">
        <v>7631</v>
      </c>
      <c r="F16" s="538">
        <v>377</v>
      </c>
      <c r="G16" s="538">
        <f>F16*20</f>
        <v>7540</v>
      </c>
      <c r="H16" s="539">
        <v>91</v>
      </c>
      <c r="I16" s="539">
        <f>H16*10</f>
        <v>910</v>
      </c>
      <c r="J16" s="538">
        <v>203</v>
      </c>
      <c r="K16" s="538">
        <f>J16*24</f>
        <v>4872</v>
      </c>
      <c r="L16" s="540" t="s">
        <v>21</v>
      </c>
      <c r="M16" s="455"/>
    </row>
    <row r="17" spans="1:13" s="289" customFormat="1" ht="20.25" customHeight="1" x14ac:dyDescent="0.25">
      <c r="A17" s="448" t="s">
        <v>2</v>
      </c>
      <c r="B17" s="456">
        <v>299</v>
      </c>
      <c r="C17" s="456">
        <v>419</v>
      </c>
      <c r="D17" s="456">
        <v>73</v>
      </c>
      <c r="E17" s="456">
        <v>21176</v>
      </c>
      <c r="F17" s="456">
        <v>273</v>
      </c>
      <c r="G17" s="456">
        <f>F17*36</f>
        <v>9828</v>
      </c>
      <c r="H17" s="457">
        <v>0</v>
      </c>
      <c r="I17" s="457">
        <v>0</v>
      </c>
      <c r="J17" s="456">
        <v>176</v>
      </c>
      <c r="K17" s="456">
        <f>J17*24</f>
        <v>4224</v>
      </c>
      <c r="L17" s="458" t="s">
        <v>14</v>
      </c>
      <c r="M17" s="455"/>
    </row>
    <row r="18" spans="1:13" s="289" customFormat="1" ht="15" customHeight="1" x14ac:dyDescent="0.25">
      <c r="A18" s="536" t="s">
        <v>7</v>
      </c>
      <c r="B18" s="538">
        <v>1160</v>
      </c>
      <c r="C18" s="538">
        <v>81</v>
      </c>
      <c r="D18" s="538">
        <v>547</v>
      </c>
      <c r="E18" s="538">
        <f>D18*160</f>
        <v>87520</v>
      </c>
      <c r="F18" s="538">
        <v>1158</v>
      </c>
      <c r="G18" s="538">
        <v>81</v>
      </c>
      <c r="H18" s="539">
        <v>2</v>
      </c>
      <c r="I18" s="539">
        <f>H18*8</f>
        <v>16</v>
      </c>
      <c r="J18" s="538">
        <v>762</v>
      </c>
      <c r="K18" s="538">
        <f>J18*16</f>
        <v>12192</v>
      </c>
      <c r="L18" s="540" t="s">
        <v>17</v>
      </c>
      <c r="M18" s="455"/>
    </row>
    <row r="19" spans="1:13" s="289" customFormat="1" ht="15" customHeight="1" x14ac:dyDescent="0.25">
      <c r="A19" s="448" t="s">
        <v>8</v>
      </c>
      <c r="B19" s="456">
        <v>813</v>
      </c>
      <c r="C19" s="456">
        <v>77270</v>
      </c>
      <c r="D19" s="456">
        <v>0</v>
      </c>
      <c r="E19" s="456">
        <v>0</v>
      </c>
      <c r="F19" s="456">
        <v>722</v>
      </c>
      <c r="G19" s="456">
        <f>F19*20</f>
        <v>14440</v>
      </c>
      <c r="H19" s="457">
        <v>0</v>
      </c>
      <c r="I19" s="457">
        <v>0</v>
      </c>
      <c r="J19" s="456">
        <v>505</v>
      </c>
      <c r="K19" s="456">
        <f>J19*12</f>
        <v>6060</v>
      </c>
      <c r="L19" s="450" t="s">
        <v>18</v>
      </c>
      <c r="M19" s="455"/>
    </row>
    <row r="20" spans="1:13" s="289" customFormat="1" ht="15" customHeight="1" x14ac:dyDescent="0.25">
      <c r="A20" s="536" t="s">
        <v>9</v>
      </c>
      <c r="B20" s="538">
        <v>472</v>
      </c>
      <c r="C20" s="538">
        <v>54641</v>
      </c>
      <c r="D20" s="538">
        <v>286</v>
      </c>
      <c r="E20" s="538">
        <v>24285</v>
      </c>
      <c r="F20" s="538">
        <v>516</v>
      </c>
      <c r="G20" s="538">
        <f>F20*20</f>
        <v>10320</v>
      </c>
      <c r="H20" s="539">
        <v>22</v>
      </c>
      <c r="I20" s="539">
        <f>H20*10</f>
        <v>220</v>
      </c>
      <c r="J20" s="538">
        <v>306</v>
      </c>
      <c r="K20" s="538">
        <f>J20*16</f>
        <v>4896</v>
      </c>
      <c r="L20" s="541" t="s">
        <v>19</v>
      </c>
      <c r="M20" s="455"/>
    </row>
    <row r="21" spans="1:13" s="289" customFormat="1" ht="15" customHeight="1" x14ac:dyDescent="0.25">
      <c r="A21" s="448" t="s">
        <v>10</v>
      </c>
      <c r="B21" s="456">
        <v>602</v>
      </c>
      <c r="C21" s="456">
        <f>B21*30</f>
        <v>18060</v>
      </c>
      <c r="D21" s="456">
        <v>419</v>
      </c>
      <c r="E21" s="456">
        <v>55476</v>
      </c>
      <c r="F21" s="456">
        <v>651</v>
      </c>
      <c r="G21" s="456">
        <f>F21*23</f>
        <v>14973</v>
      </c>
      <c r="H21" s="457">
        <v>0</v>
      </c>
      <c r="I21" s="457">
        <v>0</v>
      </c>
      <c r="J21" s="456">
        <v>500</v>
      </c>
      <c r="K21" s="456">
        <f>J21*12</f>
        <v>6000</v>
      </c>
      <c r="L21" s="450" t="s">
        <v>20</v>
      </c>
      <c r="M21" s="455"/>
    </row>
    <row r="22" spans="1:13" s="289" customFormat="1" ht="12.75" customHeight="1" x14ac:dyDescent="0.25">
      <c r="A22" s="536" t="s">
        <v>12</v>
      </c>
      <c r="B22" s="538">
        <v>427</v>
      </c>
      <c r="C22" s="538">
        <v>27253</v>
      </c>
      <c r="D22" s="538">
        <v>7</v>
      </c>
      <c r="E22" s="538">
        <f>D22*100</f>
        <v>700</v>
      </c>
      <c r="F22" s="538">
        <v>151</v>
      </c>
      <c r="G22" s="538">
        <f>F22*30</f>
        <v>4530</v>
      </c>
      <c r="H22" s="539">
        <v>7</v>
      </c>
      <c r="I22" s="539">
        <f>H22*7</f>
        <v>49</v>
      </c>
      <c r="J22" s="538">
        <v>142</v>
      </c>
      <c r="K22" s="538">
        <f>J22*12</f>
        <v>1704</v>
      </c>
      <c r="L22" s="540" t="s">
        <v>25</v>
      </c>
      <c r="M22" s="455"/>
    </row>
    <row r="23" spans="1:13" s="289" customFormat="1" ht="16.5" customHeight="1" thickBot="1" x14ac:dyDescent="0.3">
      <c r="A23" s="737" t="s">
        <v>13</v>
      </c>
      <c r="B23" s="735">
        <v>653</v>
      </c>
      <c r="C23" s="735">
        <v>8308</v>
      </c>
      <c r="D23" s="735">
        <v>99</v>
      </c>
      <c r="E23" s="735">
        <v>21145</v>
      </c>
      <c r="F23" s="735">
        <v>657</v>
      </c>
      <c r="G23" s="735">
        <f>F23*30</f>
        <v>19710</v>
      </c>
      <c r="H23" s="738">
        <v>0</v>
      </c>
      <c r="I23" s="738">
        <v>0</v>
      </c>
      <c r="J23" s="735">
        <v>403</v>
      </c>
      <c r="K23" s="735">
        <f>J23*37</f>
        <v>14911</v>
      </c>
      <c r="L23" s="739" t="s">
        <v>22</v>
      </c>
      <c r="M23" s="455"/>
    </row>
    <row r="24" spans="1:13" s="395" customFormat="1" ht="17.25" customHeight="1" thickBot="1" x14ac:dyDescent="0.25">
      <c r="A24" s="734" t="s">
        <v>0</v>
      </c>
      <c r="B24" s="735">
        <v>14272</v>
      </c>
      <c r="C24" s="735">
        <f>SUM(C9:C23)</f>
        <v>361778</v>
      </c>
      <c r="D24" s="735">
        <v>7611</v>
      </c>
      <c r="E24" s="735">
        <f>SUM(E9:E23)</f>
        <v>1707333</v>
      </c>
      <c r="F24" s="735">
        <v>13340</v>
      </c>
      <c r="G24" s="735">
        <f>SUM(G9:G23)</f>
        <v>150605</v>
      </c>
      <c r="H24" s="735">
        <v>11252</v>
      </c>
      <c r="I24" s="735">
        <f>SUM(I9:I23)</f>
        <v>21772</v>
      </c>
      <c r="J24" s="735">
        <v>11077</v>
      </c>
      <c r="K24" s="735">
        <f>SUM(K9:K23)</f>
        <v>320546</v>
      </c>
      <c r="L24" s="736" t="s">
        <v>1</v>
      </c>
    </row>
    <row r="25" spans="1:13" s="6" customFormat="1" ht="17.25" customHeight="1" x14ac:dyDescent="0.2">
      <c r="A25" s="948"/>
      <c r="B25" s="948"/>
      <c r="C25" s="948"/>
      <c r="D25" s="948"/>
      <c r="E25" s="948"/>
      <c r="F25" s="948"/>
      <c r="G25" s="948"/>
      <c r="H25" s="948"/>
      <c r="I25" s="198"/>
      <c r="J25" s="198"/>
      <c r="K25" s="198"/>
      <c r="L25" s="199"/>
    </row>
    <row r="26" spans="1:13" ht="14.25" x14ac:dyDescent="0.2">
      <c r="C26" s="6"/>
      <c r="D26" s="6"/>
      <c r="E26" s="6"/>
      <c r="F26" s="6"/>
      <c r="G26" s="6"/>
      <c r="L26" s="186"/>
    </row>
    <row r="27" spans="1:13" ht="15" x14ac:dyDescent="0.25">
      <c r="A27" s="973"/>
      <c r="B27" s="973"/>
      <c r="C27" s="6"/>
      <c r="D27" s="6"/>
      <c r="E27" s="6"/>
      <c r="F27" s="6"/>
      <c r="G27" s="6"/>
      <c r="L27" s="55"/>
    </row>
  </sheetData>
  <mergeCells count="14">
    <mergeCell ref="A25:H25"/>
    <mergeCell ref="K3:L3"/>
    <mergeCell ref="A27:B27"/>
    <mergeCell ref="B6:C6"/>
    <mergeCell ref="D6:E6"/>
    <mergeCell ref="F6:G6"/>
    <mergeCell ref="F5:G5"/>
    <mergeCell ref="A1:L1"/>
    <mergeCell ref="A2:L2"/>
    <mergeCell ref="B5:C5"/>
    <mergeCell ref="A4:B4"/>
    <mergeCell ref="H4:K4"/>
    <mergeCell ref="C4:E4"/>
    <mergeCell ref="D5:E5"/>
  </mergeCells>
  <phoneticPr fontId="3" type="noConversion"/>
  <printOptions horizontalCentered="1" verticalCentered="1"/>
  <pageMargins left="0.85" right="0.62" top="0.48" bottom="0.98425196850393704" header="0.77" footer="0.511811023622047"/>
  <pageSetup scale="99" orientation="landscape" verticalDpi="300" r:id="rId1"/>
  <headerFooter alignWithMargins="0">
    <oddFooter>&amp;C43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60"/>
  <sheetViews>
    <sheetView rightToLeft="1" zoomScaleSheetLayoutView="100" workbookViewId="0">
      <selection activeCell="M6" sqref="M6"/>
    </sheetView>
  </sheetViews>
  <sheetFormatPr defaultRowHeight="12.75" x14ac:dyDescent="0.2"/>
  <cols>
    <col min="1" max="1" width="10.85546875" customWidth="1"/>
    <col min="2" max="2" width="13.42578125" customWidth="1"/>
    <col min="3" max="3" width="12.7109375" customWidth="1"/>
    <col min="4" max="4" width="12" customWidth="1"/>
    <col min="5" max="5" width="14" customWidth="1"/>
    <col min="6" max="6" width="11.140625" customWidth="1"/>
    <col min="7" max="7" width="12" customWidth="1"/>
    <col min="8" max="8" width="10.28515625" customWidth="1"/>
    <col min="9" max="9" width="12.140625" customWidth="1"/>
    <col min="10" max="10" width="16.5703125" customWidth="1"/>
    <col min="11" max="11" width="20" customWidth="1"/>
  </cols>
  <sheetData>
    <row r="1" spans="1:11" ht="15" x14ac:dyDescent="0.2">
      <c r="A1" s="1006" t="s">
        <v>442</v>
      </c>
      <c r="B1" s="1006"/>
      <c r="C1" s="1006"/>
      <c r="D1" s="1006"/>
      <c r="E1" s="1006"/>
      <c r="F1" s="1006"/>
      <c r="G1" s="1006"/>
      <c r="H1" s="1006"/>
      <c r="I1" s="1006"/>
      <c r="J1" s="1006"/>
    </row>
    <row r="2" spans="1:11" s="6" customFormat="1" ht="15" x14ac:dyDescent="0.2">
      <c r="A2" s="978" t="s">
        <v>433</v>
      </c>
      <c r="B2" s="978"/>
      <c r="C2" s="978"/>
      <c r="D2" s="978"/>
      <c r="E2" s="978"/>
      <c r="F2" s="978"/>
      <c r="G2" s="978"/>
      <c r="H2" s="978"/>
      <c r="I2" s="978"/>
      <c r="J2" s="978"/>
    </row>
    <row r="3" spans="1:11" ht="15" x14ac:dyDescent="0.25">
      <c r="I3" s="926" t="s">
        <v>477</v>
      </c>
      <c r="J3" s="926"/>
    </row>
    <row r="4" spans="1:11" ht="21" customHeight="1" thickBot="1" x14ac:dyDescent="0.3">
      <c r="A4" s="1009" t="s">
        <v>489</v>
      </c>
      <c r="B4" s="1009"/>
      <c r="C4" s="1008" t="s">
        <v>194</v>
      </c>
      <c r="D4" s="1008"/>
      <c r="E4" s="1008"/>
      <c r="F4" s="18"/>
      <c r="G4" s="18"/>
      <c r="H4" s="1007"/>
      <c r="I4" s="1007"/>
      <c r="J4" s="226" t="s">
        <v>314</v>
      </c>
    </row>
    <row r="5" spans="1:11" ht="29.25" customHeight="1" x14ac:dyDescent="0.25">
      <c r="A5" s="143"/>
      <c r="B5" s="145" t="s">
        <v>33</v>
      </c>
      <c r="C5" s="143"/>
      <c r="D5" s="145" t="s">
        <v>57</v>
      </c>
      <c r="E5" s="143"/>
      <c r="F5" s="1010" t="s">
        <v>41</v>
      </c>
      <c r="G5" s="1010"/>
      <c r="H5" s="145" t="s">
        <v>395</v>
      </c>
      <c r="I5" s="143"/>
      <c r="J5" s="144"/>
    </row>
    <row r="6" spans="1:11" ht="27" customHeight="1" x14ac:dyDescent="0.25">
      <c r="A6" s="117"/>
      <c r="B6" s="117" t="s">
        <v>279</v>
      </c>
      <c r="C6" s="117"/>
      <c r="D6" s="117" t="s">
        <v>285</v>
      </c>
      <c r="E6" s="117"/>
      <c r="F6" s="906" t="s">
        <v>324</v>
      </c>
      <c r="G6" s="906"/>
      <c r="H6" s="117" t="s">
        <v>168</v>
      </c>
      <c r="I6" s="117"/>
      <c r="J6" s="142"/>
    </row>
    <row r="7" spans="1:11" ht="15" customHeight="1" x14ac:dyDescent="0.25">
      <c r="A7" s="365"/>
      <c r="B7" s="366" t="s">
        <v>42</v>
      </c>
      <c r="C7" s="366" t="s">
        <v>224</v>
      </c>
      <c r="D7" s="366" t="s">
        <v>42</v>
      </c>
      <c r="E7" s="366" t="s">
        <v>224</v>
      </c>
      <c r="F7" s="366" t="s">
        <v>42</v>
      </c>
      <c r="G7" s="366" t="s">
        <v>224</v>
      </c>
      <c r="H7" s="366" t="s">
        <v>42</v>
      </c>
      <c r="I7" s="366" t="s">
        <v>224</v>
      </c>
      <c r="J7" s="68"/>
    </row>
    <row r="8" spans="1:11" s="791" customFormat="1" ht="15" customHeight="1" thickBot="1" x14ac:dyDescent="0.25">
      <c r="A8" s="868" t="s">
        <v>54</v>
      </c>
      <c r="B8" s="869" t="s">
        <v>43</v>
      </c>
      <c r="C8" s="869" t="s">
        <v>29</v>
      </c>
      <c r="D8" s="869" t="s">
        <v>43</v>
      </c>
      <c r="E8" s="869" t="s">
        <v>29</v>
      </c>
      <c r="F8" s="869" t="s">
        <v>43</v>
      </c>
      <c r="G8" s="869" t="s">
        <v>29</v>
      </c>
      <c r="H8" s="869" t="s">
        <v>43</v>
      </c>
      <c r="I8" s="869" t="s">
        <v>29</v>
      </c>
      <c r="J8" s="869" t="s">
        <v>26</v>
      </c>
    </row>
    <row r="9" spans="1:11" s="289" customFormat="1" ht="15" customHeight="1" x14ac:dyDescent="0.25">
      <c r="A9" s="460" t="s">
        <v>356</v>
      </c>
      <c r="B9" s="456">
        <v>101</v>
      </c>
      <c r="C9" s="456">
        <f>B9*5</f>
        <v>505</v>
      </c>
      <c r="D9" s="456">
        <v>642</v>
      </c>
      <c r="E9" s="456">
        <v>303231</v>
      </c>
      <c r="F9" s="456">
        <v>215</v>
      </c>
      <c r="G9" s="456">
        <v>32520</v>
      </c>
      <c r="H9" s="457">
        <v>1144</v>
      </c>
      <c r="I9" s="457">
        <f>H9*14</f>
        <v>16016</v>
      </c>
      <c r="J9" s="461" t="s">
        <v>357</v>
      </c>
      <c r="K9" s="455"/>
    </row>
    <row r="10" spans="1:11" s="289" customFormat="1" ht="15" customHeight="1" x14ac:dyDescent="0.25">
      <c r="A10" s="542" t="s">
        <v>30</v>
      </c>
      <c r="B10" s="538">
        <v>325</v>
      </c>
      <c r="C10" s="538">
        <f>B10*3</f>
        <v>975</v>
      </c>
      <c r="D10" s="538">
        <v>1402</v>
      </c>
      <c r="E10" s="538">
        <v>500740</v>
      </c>
      <c r="F10" s="538">
        <v>544</v>
      </c>
      <c r="G10" s="538">
        <v>73760</v>
      </c>
      <c r="H10" s="539">
        <v>3034</v>
      </c>
      <c r="I10" s="539">
        <f>H10*13</f>
        <v>39442</v>
      </c>
      <c r="J10" s="543" t="s">
        <v>31</v>
      </c>
      <c r="K10" s="455"/>
    </row>
    <row r="11" spans="1:11" s="289" customFormat="1" ht="15" customHeight="1" x14ac:dyDescent="0.25">
      <c r="A11" s="460" t="s">
        <v>3</v>
      </c>
      <c r="B11" s="456">
        <v>0</v>
      </c>
      <c r="C11" s="456">
        <v>0</v>
      </c>
      <c r="D11" s="456">
        <v>2036</v>
      </c>
      <c r="E11" s="456">
        <v>1511531</v>
      </c>
      <c r="F11" s="456">
        <v>580</v>
      </c>
      <c r="G11" s="456">
        <v>63867</v>
      </c>
      <c r="H11" s="457">
        <v>3504</v>
      </c>
      <c r="I11" s="457">
        <f>H11*15</f>
        <v>52560</v>
      </c>
      <c r="J11" s="461" t="s">
        <v>15</v>
      </c>
      <c r="K11" s="455"/>
    </row>
    <row r="12" spans="1:11" s="289" customFormat="1" ht="15" customHeight="1" x14ac:dyDescent="0.25">
      <c r="A12" s="544" t="s">
        <v>342</v>
      </c>
      <c r="B12" s="538">
        <v>57</v>
      </c>
      <c r="C12" s="538">
        <v>8459</v>
      </c>
      <c r="D12" s="538">
        <v>865</v>
      </c>
      <c r="E12" s="538">
        <v>395609</v>
      </c>
      <c r="F12" s="538">
        <v>314</v>
      </c>
      <c r="G12" s="538">
        <v>46182</v>
      </c>
      <c r="H12" s="539">
        <v>1435</v>
      </c>
      <c r="I12" s="539">
        <f>H12*18</f>
        <v>25830</v>
      </c>
      <c r="J12" s="543" t="s">
        <v>337</v>
      </c>
      <c r="K12" s="455"/>
    </row>
    <row r="13" spans="1:11" s="289" customFormat="1" ht="15" customHeight="1" x14ac:dyDescent="0.25">
      <c r="A13" s="460" t="s">
        <v>4</v>
      </c>
      <c r="B13" s="456">
        <v>4054</v>
      </c>
      <c r="C13" s="456">
        <v>115299</v>
      </c>
      <c r="D13" s="456">
        <v>11674</v>
      </c>
      <c r="E13" s="456">
        <v>9148900</v>
      </c>
      <c r="F13" s="456">
        <v>4568</v>
      </c>
      <c r="G13" s="456">
        <v>661777</v>
      </c>
      <c r="H13" s="457">
        <v>21441</v>
      </c>
      <c r="I13" s="457">
        <f>H13*11</f>
        <v>235851</v>
      </c>
      <c r="J13" s="461" t="s">
        <v>16</v>
      </c>
      <c r="K13" s="455"/>
    </row>
    <row r="14" spans="1:11" s="289" customFormat="1" ht="15" customHeight="1" x14ac:dyDescent="0.25">
      <c r="A14" s="542" t="s">
        <v>5</v>
      </c>
      <c r="B14" s="538">
        <v>561</v>
      </c>
      <c r="C14" s="538">
        <v>57527</v>
      </c>
      <c r="D14" s="538">
        <v>2001</v>
      </c>
      <c r="E14" s="538">
        <v>704594</v>
      </c>
      <c r="F14" s="538">
        <v>652</v>
      </c>
      <c r="G14" s="538">
        <v>89291</v>
      </c>
      <c r="H14" s="539">
        <v>3344</v>
      </c>
      <c r="I14" s="539">
        <f>H14*14</f>
        <v>46816</v>
      </c>
      <c r="J14" s="543" t="s">
        <v>23</v>
      </c>
      <c r="K14" s="455"/>
    </row>
    <row r="15" spans="1:11" s="289" customFormat="1" ht="15" customHeight="1" x14ac:dyDescent="0.25">
      <c r="A15" s="460" t="s">
        <v>6</v>
      </c>
      <c r="B15" s="456">
        <v>0</v>
      </c>
      <c r="C15" s="456">
        <v>0</v>
      </c>
      <c r="D15" s="456">
        <v>1307</v>
      </c>
      <c r="E15" s="456">
        <f>D15*17</f>
        <v>22219</v>
      </c>
      <c r="F15" s="456">
        <v>684</v>
      </c>
      <c r="G15" s="456">
        <v>93961</v>
      </c>
      <c r="H15" s="457">
        <v>4377</v>
      </c>
      <c r="I15" s="457">
        <f>H15*14</f>
        <v>61278</v>
      </c>
      <c r="J15" s="461" t="s">
        <v>24</v>
      </c>
      <c r="K15" s="455"/>
    </row>
    <row r="16" spans="1:11" s="289" customFormat="1" ht="15" customHeight="1" x14ac:dyDescent="0.25">
      <c r="A16" s="542" t="s">
        <v>11</v>
      </c>
      <c r="B16" s="538">
        <v>137</v>
      </c>
      <c r="C16" s="538">
        <f>B16*4</f>
        <v>548</v>
      </c>
      <c r="D16" s="538">
        <v>879</v>
      </c>
      <c r="E16" s="538">
        <f>D16*17</f>
        <v>14943</v>
      </c>
      <c r="F16" s="538">
        <v>316</v>
      </c>
      <c r="G16" s="538">
        <v>46619</v>
      </c>
      <c r="H16" s="539">
        <v>1521</v>
      </c>
      <c r="I16" s="539">
        <f>H16*14</f>
        <v>21294</v>
      </c>
      <c r="J16" s="543" t="s">
        <v>21</v>
      </c>
      <c r="K16" s="455"/>
    </row>
    <row r="17" spans="1:11" s="289" customFormat="1" ht="15" customHeight="1" x14ac:dyDescent="0.25">
      <c r="A17" s="460" t="s">
        <v>2</v>
      </c>
      <c r="B17" s="456">
        <v>73</v>
      </c>
      <c r="C17" s="456">
        <f>B17*4</f>
        <v>292</v>
      </c>
      <c r="D17" s="456">
        <v>694</v>
      </c>
      <c r="E17" s="456">
        <v>385750</v>
      </c>
      <c r="F17" s="456">
        <v>313</v>
      </c>
      <c r="G17" s="456">
        <v>32621</v>
      </c>
      <c r="H17" s="457">
        <v>1234</v>
      </c>
      <c r="I17" s="457">
        <f>H17*14</f>
        <v>17276</v>
      </c>
      <c r="J17" s="461" t="s">
        <v>14</v>
      </c>
      <c r="K17" s="455"/>
    </row>
    <row r="18" spans="1:11" s="289" customFormat="1" ht="15" customHeight="1" x14ac:dyDescent="0.25">
      <c r="A18" s="542" t="s">
        <v>7</v>
      </c>
      <c r="B18" s="538">
        <v>446</v>
      </c>
      <c r="C18" s="538">
        <f>B18*5</f>
        <v>2230</v>
      </c>
      <c r="D18" s="538">
        <v>2781</v>
      </c>
      <c r="E18" s="538">
        <f>D18*17</f>
        <v>47277</v>
      </c>
      <c r="F18" s="538">
        <v>1011</v>
      </c>
      <c r="G18" s="538">
        <v>98427</v>
      </c>
      <c r="H18" s="539">
        <v>5360</v>
      </c>
      <c r="I18" s="539">
        <f>H18*11</f>
        <v>58960</v>
      </c>
      <c r="J18" s="543" t="s">
        <v>17</v>
      </c>
      <c r="K18" s="455"/>
    </row>
    <row r="19" spans="1:11" s="289" customFormat="1" ht="15" customHeight="1" x14ac:dyDescent="0.25">
      <c r="A19" s="460" t="s">
        <v>8</v>
      </c>
      <c r="B19" s="456">
        <v>0</v>
      </c>
      <c r="C19" s="456">
        <v>0</v>
      </c>
      <c r="D19" s="456">
        <v>2268</v>
      </c>
      <c r="E19" s="456">
        <v>624843</v>
      </c>
      <c r="F19" s="456">
        <v>667</v>
      </c>
      <c r="G19" s="456">
        <v>91186</v>
      </c>
      <c r="H19" s="457">
        <v>4289</v>
      </c>
      <c r="I19" s="457">
        <f>H19*14</f>
        <v>60046</v>
      </c>
      <c r="J19" s="461" t="s">
        <v>18</v>
      </c>
      <c r="K19" s="455"/>
    </row>
    <row r="20" spans="1:11" s="289" customFormat="1" ht="15" customHeight="1" x14ac:dyDescent="0.25">
      <c r="A20" s="542" t="s">
        <v>9</v>
      </c>
      <c r="B20" s="538">
        <v>22</v>
      </c>
      <c r="C20" s="538">
        <f>B20*2</f>
        <v>44</v>
      </c>
      <c r="D20" s="538">
        <v>1433</v>
      </c>
      <c r="E20" s="538">
        <v>1055724</v>
      </c>
      <c r="F20" s="538">
        <v>327</v>
      </c>
      <c r="G20" s="538">
        <v>54602</v>
      </c>
      <c r="H20" s="539">
        <v>1148</v>
      </c>
      <c r="I20" s="539">
        <f>H20*14</f>
        <v>16072</v>
      </c>
      <c r="J20" s="543" t="s">
        <v>19</v>
      </c>
      <c r="K20" s="455"/>
    </row>
    <row r="21" spans="1:11" s="289" customFormat="1" ht="15" customHeight="1" x14ac:dyDescent="0.25">
      <c r="A21" s="460" t="s">
        <v>10</v>
      </c>
      <c r="B21" s="456">
        <v>41</v>
      </c>
      <c r="C21" s="456">
        <f>B21*2</f>
        <v>82</v>
      </c>
      <c r="D21" s="456">
        <v>1737</v>
      </c>
      <c r="E21" s="456">
        <f>D21*17</f>
        <v>29529</v>
      </c>
      <c r="F21" s="456">
        <v>559</v>
      </c>
      <c r="G21" s="456">
        <v>64872</v>
      </c>
      <c r="H21" s="457">
        <v>2712</v>
      </c>
      <c r="I21" s="457">
        <f>H21*14</f>
        <v>37968</v>
      </c>
      <c r="J21" s="461" t="s">
        <v>20</v>
      </c>
      <c r="K21" s="455"/>
    </row>
    <row r="22" spans="1:11" s="289" customFormat="1" ht="15" customHeight="1" x14ac:dyDescent="0.25">
      <c r="A22" s="542" t="s">
        <v>12</v>
      </c>
      <c r="B22" s="538">
        <v>7</v>
      </c>
      <c r="C22" s="538">
        <f>B22*3</f>
        <v>21</v>
      </c>
      <c r="D22" s="538">
        <v>529</v>
      </c>
      <c r="E22" s="538">
        <f>D22*17</f>
        <v>8993</v>
      </c>
      <c r="F22" s="538">
        <v>174</v>
      </c>
      <c r="G22" s="538">
        <v>23619</v>
      </c>
      <c r="H22" s="539">
        <v>508</v>
      </c>
      <c r="I22" s="539">
        <f>H22*14</f>
        <v>7112</v>
      </c>
      <c r="J22" s="543" t="s">
        <v>25</v>
      </c>
      <c r="K22" s="455"/>
    </row>
    <row r="23" spans="1:11" s="289" customFormat="1" ht="15" customHeight="1" thickBot="1" x14ac:dyDescent="0.3">
      <c r="A23" s="460" t="s">
        <v>13</v>
      </c>
      <c r="B23" s="456">
        <v>226</v>
      </c>
      <c r="C23" s="456">
        <f>B23*4</f>
        <v>904</v>
      </c>
      <c r="D23" s="456">
        <v>1607</v>
      </c>
      <c r="E23" s="456">
        <v>1098487</v>
      </c>
      <c r="F23" s="456">
        <v>546</v>
      </c>
      <c r="G23" s="456">
        <v>93251</v>
      </c>
      <c r="H23" s="457">
        <v>2186</v>
      </c>
      <c r="I23" s="457">
        <f>H23*14</f>
        <v>30604</v>
      </c>
      <c r="J23" s="461" t="s">
        <v>22</v>
      </c>
      <c r="K23" s="455"/>
    </row>
    <row r="24" spans="1:11" s="289" customFormat="1" ht="15.75" customHeight="1" thickTop="1" thickBot="1" x14ac:dyDescent="0.25">
      <c r="A24" s="792" t="s">
        <v>0</v>
      </c>
      <c r="B24" s="793">
        <v>6050</v>
      </c>
      <c r="C24" s="793">
        <f>SUM(C9:C23)</f>
        <v>186886</v>
      </c>
      <c r="D24" s="793">
        <v>31855</v>
      </c>
      <c r="E24" s="793">
        <f>SUM(E9:E23)</f>
        <v>15852370</v>
      </c>
      <c r="F24" s="793">
        <v>11470</v>
      </c>
      <c r="G24" s="793">
        <v>1566555</v>
      </c>
      <c r="H24" s="793">
        <v>57237</v>
      </c>
      <c r="I24" s="793">
        <f>SUM(I9:I23)</f>
        <v>727125</v>
      </c>
      <c r="J24" s="794" t="s">
        <v>1</v>
      </c>
    </row>
    <row r="25" spans="1:11" s="6" customFormat="1" ht="15.75" customHeight="1" thickTop="1" x14ac:dyDescent="0.2">
      <c r="A25" s="948"/>
      <c r="B25" s="948"/>
      <c r="C25" s="948"/>
      <c r="D25" s="948"/>
      <c r="E25" s="948"/>
      <c r="F25" s="948"/>
      <c r="G25" s="948"/>
      <c r="H25" s="948"/>
      <c r="I25" s="198"/>
      <c r="J25" s="201"/>
    </row>
    <row r="26" spans="1:11" ht="14.25" x14ac:dyDescent="0.2">
      <c r="C26" s="6"/>
      <c r="D26" s="6"/>
      <c r="E26" s="6"/>
      <c r="F26" s="6"/>
      <c r="G26" s="6"/>
      <c r="H26" s="6"/>
      <c r="I26" s="6"/>
      <c r="J26" s="186"/>
    </row>
    <row r="27" spans="1:11" ht="15" x14ac:dyDescent="0.25">
      <c r="A27" s="973"/>
      <c r="B27" s="973"/>
      <c r="C27" s="6"/>
      <c r="D27" s="6"/>
      <c r="E27" s="6"/>
      <c r="F27" s="6"/>
      <c r="G27" s="6"/>
      <c r="H27" s="6"/>
      <c r="I27" s="974"/>
      <c r="J27" s="974"/>
    </row>
    <row r="47" spans="2:5" x14ac:dyDescent="0.2">
      <c r="B47" s="5">
        <v>28665868451</v>
      </c>
      <c r="C47">
        <v>662900</v>
      </c>
      <c r="D47">
        <v>349230</v>
      </c>
      <c r="E47" s="5">
        <f t="shared" ref="E47:E60" si="0">B47+C47+D47</f>
        <v>28666880581</v>
      </c>
    </row>
    <row r="48" spans="2:5" x14ac:dyDescent="0.2">
      <c r="B48" s="5">
        <v>73047769925</v>
      </c>
      <c r="C48">
        <v>271660</v>
      </c>
      <c r="D48">
        <v>660120</v>
      </c>
      <c r="E48" s="5">
        <f t="shared" si="0"/>
        <v>73048701705</v>
      </c>
    </row>
    <row r="49" spans="2:5" x14ac:dyDescent="0.2">
      <c r="B49" s="5">
        <v>1400964851</v>
      </c>
      <c r="C49">
        <v>7681</v>
      </c>
      <c r="D49">
        <v>8346</v>
      </c>
      <c r="E49" s="5">
        <f t="shared" si="0"/>
        <v>1400980878</v>
      </c>
    </row>
    <row r="50" spans="2:5" x14ac:dyDescent="0.2">
      <c r="B50" s="5">
        <v>294236672924</v>
      </c>
      <c r="C50">
        <v>5874815</v>
      </c>
      <c r="D50">
        <v>4660640</v>
      </c>
      <c r="E50" s="5">
        <f t="shared" si="0"/>
        <v>294247208379</v>
      </c>
    </row>
    <row r="51" spans="2:5" x14ac:dyDescent="0.2">
      <c r="B51" s="5">
        <v>49144404744</v>
      </c>
      <c r="C51">
        <v>854940</v>
      </c>
      <c r="D51">
        <v>473742</v>
      </c>
      <c r="E51" s="5">
        <f t="shared" si="0"/>
        <v>49145733426</v>
      </c>
    </row>
    <row r="52" spans="2:5" x14ac:dyDescent="0.2">
      <c r="B52" s="5">
        <v>34523077995</v>
      </c>
      <c r="C52">
        <v>430740</v>
      </c>
      <c r="D52">
        <v>393666</v>
      </c>
      <c r="E52" s="5">
        <f t="shared" si="0"/>
        <v>34523902401</v>
      </c>
    </row>
    <row r="53" spans="2:5" x14ac:dyDescent="0.2">
      <c r="B53" s="5">
        <v>58423127945</v>
      </c>
      <c r="C53">
        <v>654035</v>
      </c>
      <c r="D53">
        <v>361837</v>
      </c>
      <c r="E53" s="5">
        <f t="shared" si="0"/>
        <v>58424143817</v>
      </c>
    </row>
    <row r="54" spans="2:5" x14ac:dyDescent="0.2">
      <c r="B54" s="5">
        <v>15330166967</v>
      </c>
      <c r="C54">
        <v>312500</v>
      </c>
      <c r="D54">
        <v>175155</v>
      </c>
      <c r="E54" s="5">
        <f t="shared" si="0"/>
        <v>15330654622</v>
      </c>
    </row>
    <row r="55" spans="2:5" x14ac:dyDescent="0.2">
      <c r="B55" s="5">
        <v>48736888030</v>
      </c>
      <c r="C55">
        <v>600720</v>
      </c>
      <c r="D55">
        <v>456190</v>
      </c>
      <c r="E55" s="5">
        <f t="shared" si="0"/>
        <v>48737944940</v>
      </c>
    </row>
    <row r="56" spans="2:5" x14ac:dyDescent="0.2">
      <c r="B56" s="5">
        <v>14515183121</v>
      </c>
      <c r="C56">
        <v>80500</v>
      </c>
      <c r="D56">
        <v>129940</v>
      </c>
      <c r="E56" s="5">
        <f t="shared" si="0"/>
        <v>14515393561</v>
      </c>
    </row>
    <row r="57" spans="2:5" x14ac:dyDescent="0.2">
      <c r="B57" s="5">
        <v>8936648794</v>
      </c>
      <c r="C57">
        <v>102205</v>
      </c>
      <c r="D57">
        <v>114421</v>
      </c>
      <c r="E57" s="5">
        <f t="shared" si="0"/>
        <v>8936865420</v>
      </c>
    </row>
    <row r="58" spans="2:5" x14ac:dyDescent="0.2">
      <c r="B58" s="5">
        <v>30908581541</v>
      </c>
      <c r="C58">
        <v>322875</v>
      </c>
      <c r="D58">
        <v>534490</v>
      </c>
      <c r="E58" s="5">
        <f t="shared" si="0"/>
        <v>30909438906</v>
      </c>
    </row>
    <row r="59" spans="2:5" x14ac:dyDescent="0.2">
      <c r="B59" s="5">
        <v>5934467360</v>
      </c>
      <c r="C59">
        <v>252975</v>
      </c>
      <c r="D59">
        <v>127205</v>
      </c>
      <c r="E59" s="5">
        <f t="shared" si="0"/>
        <v>5934847540</v>
      </c>
    </row>
    <row r="60" spans="2:5" x14ac:dyDescent="0.2">
      <c r="B60" s="5">
        <v>35545292524</v>
      </c>
      <c r="C60">
        <v>660550</v>
      </c>
      <c r="D60">
        <v>557400</v>
      </c>
      <c r="E60" s="5">
        <f t="shared" si="0"/>
        <v>35546510474</v>
      </c>
    </row>
  </sheetData>
  <mergeCells count="11">
    <mergeCell ref="I3:J3"/>
    <mergeCell ref="A27:B27"/>
    <mergeCell ref="I27:J27"/>
    <mergeCell ref="A1:J1"/>
    <mergeCell ref="A2:J2"/>
    <mergeCell ref="H4:I4"/>
    <mergeCell ref="C4:E4"/>
    <mergeCell ref="A4:B4"/>
    <mergeCell ref="F6:G6"/>
    <mergeCell ref="F5:G5"/>
    <mergeCell ref="A25:H25"/>
  </mergeCells>
  <phoneticPr fontId="3" type="noConversion"/>
  <printOptions horizontalCentered="1" verticalCentered="1"/>
  <pageMargins left="0.25" right="0.25" top="1.1100000000000001" bottom="0.75" header="0.3" footer="0.3"/>
  <pageSetup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M27"/>
  <sheetViews>
    <sheetView rightToLeft="1" zoomScaleSheetLayoutView="91" workbookViewId="0">
      <selection activeCell="A4" sqref="A4:B4"/>
    </sheetView>
  </sheetViews>
  <sheetFormatPr defaultRowHeight="12.75" x14ac:dyDescent="0.2"/>
  <cols>
    <col min="1" max="1" width="10.5703125" customWidth="1"/>
    <col min="2" max="2" width="8.42578125" customWidth="1"/>
    <col min="3" max="3" width="12.5703125" customWidth="1"/>
    <col min="4" max="4" width="10.42578125" customWidth="1"/>
    <col min="5" max="5" width="13.140625" customWidth="1"/>
    <col min="6" max="6" width="13.28515625" customWidth="1"/>
    <col min="7" max="7" width="17.28515625" customWidth="1"/>
    <col min="8" max="8" width="18.28515625" customWidth="1"/>
    <col min="9" max="9" width="16.140625" customWidth="1"/>
    <col min="10" max="10" width="10.140625" hidden="1" customWidth="1"/>
    <col min="11" max="11" width="9.140625" hidden="1" customWidth="1"/>
  </cols>
  <sheetData>
    <row r="1" spans="1:39" ht="15" customHeight="1" x14ac:dyDescent="0.2">
      <c r="A1" s="1012" t="s">
        <v>442</v>
      </c>
      <c r="B1" s="1012"/>
      <c r="C1" s="1012"/>
      <c r="D1" s="1012"/>
      <c r="E1" s="1012"/>
      <c r="F1" s="1012"/>
      <c r="G1" s="1012"/>
      <c r="H1" s="1012"/>
      <c r="I1" s="101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12.75" customHeight="1" x14ac:dyDescent="0.2">
      <c r="A2" s="1013" t="s">
        <v>434</v>
      </c>
      <c r="B2" s="1013"/>
      <c r="C2" s="1013"/>
      <c r="D2" s="1013"/>
      <c r="E2" s="1013"/>
      <c r="F2" s="1013"/>
      <c r="G2" s="1013"/>
      <c r="H2" s="1013"/>
      <c r="I2" s="101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6" customFormat="1" ht="12.75" customHeight="1" x14ac:dyDescent="0.25">
      <c r="A3" s="214"/>
      <c r="B3" s="214"/>
      <c r="C3" s="214"/>
      <c r="D3" s="214"/>
      <c r="E3" s="214"/>
      <c r="F3" s="214"/>
      <c r="G3" s="214"/>
      <c r="H3" s="926" t="s">
        <v>477</v>
      </c>
      <c r="I3" s="92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7.25" customHeight="1" thickBot="1" x14ac:dyDescent="0.25">
      <c r="A4" s="1011" t="s">
        <v>492</v>
      </c>
      <c r="B4" s="1011"/>
      <c r="C4" s="1014" t="s">
        <v>172</v>
      </c>
      <c r="D4" s="1014"/>
      <c r="E4" s="146"/>
      <c r="F4" s="988" t="s">
        <v>323</v>
      </c>
      <c r="G4" s="988"/>
      <c r="H4" s="988"/>
      <c r="I4" s="147" t="s">
        <v>314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15" customHeight="1" x14ac:dyDescent="0.25">
      <c r="A5" s="38"/>
      <c r="B5" s="161" t="s">
        <v>34</v>
      </c>
      <c r="C5" s="160"/>
      <c r="D5" s="1015" t="s">
        <v>35</v>
      </c>
      <c r="E5" s="1015"/>
      <c r="F5" s="1015" t="s">
        <v>56</v>
      </c>
      <c r="G5" s="1015"/>
      <c r="H5" s="882"/>
      <c r="I5" s="3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5" customHeight="1" x14ac:dyDescent="0.25">
      <c r="A6" s="41"/>
      <c r="B6" s="148" t="s">
        <v>249</v>
      </c>
      <c r="C6" s="148"/>
      <c r="D6" s="910" t="s">
        <v>286</v>
      </c>
      <c r="E6" s="910"/>
      <c r="F6" s="907" t="s">
        <v>166</v>
      </c>
      <c r="G6" s="907"/>
      <c r="H6" s="149" t="s">
        <v>1</v>
      </c>
      <c r="I6" s="4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15" customHeight="1" thickBot="1" x14ac:dyDescent="0.25">
      <c r="A7" s="367"/>
      <c r="B7" s="368" t="s">
        <v>27</v>
      </c>
      <c r="C7" s="369" t="s">
        <v>224</v>
      </c>
      <c r="D7" s="369" t="s">
        <v>27</v>
      </c>
      <c r="E7" s="369" t="s">
        <v>224</v>
      </c>
      <c r="F7" s="369" t="s">
        <v>27</v>
      </c>
      <c r="G7" s="369" t="s">
        <v>224</v>
      </c>
      <c r="H7" s="368" t="s">
        <v>224</v>
      </c>
      <c r="I7" s="14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s="545" customFormat="1" ht="15" customHeight="1" thickBot="1" x14ac:dyDescent="0.25">
      <c r="A8" s="546" t="s">
        <v>54</v>
      </c>
      <c r="B8" s="547" t="s">
        <v>129</v>
      </c>
      <c r="C8" s="547" t="s">
        <v>29</v>
      </c>
      <c r="D8" s="547" t="s">
        <v>129</v>
      </c>
      <c r="E8" s="547" t="s">
        <v>29</v>
      </c>
      <c r="F8" s="547" t="s">
        <v>129</v>
      </c>
      <c r="G8" s="883" t="s">
        <v>29</v>
      </c>
      <c r="H8" s="547" t="s">
        <v>29</v>
      </c>
      <c r="I8" s="548" t="s">
        <v>26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395" customFormat="1" ht="15" customHeight="1" x14ac:dyDescent="0.25">
      <c r="A9" s="542" t="s">
        <v>356</v>
      </c>
      <c r="B9" s="538">
        <v>747</v>
      </c>
      <c r="C9" s="538">
        <f>B9*48</f>
        <v>35856</v>
      </c>
      <c r="D9" s="538">
        <v>101</v>
      </c>
      <c r="E9" s="538">
        <f>D9*483</f>
        <v>48783</v>
      </c>
      <c r="F9" s="538">
        <v>215</v>
      </c>
      <c r="G9" s="538">
        <v>32520</v>
      </c>
      <c r="H9" s="718">
        <f>ت.صحيه1!C9+ت.صحيه1!E9+ت.صحيه1!G9+ت.صحيه1!I9+ت.صحيه1!K9+ت.صحيه2!C9+ت.صحيه2!E9+ت.صحيه2!G9+ت.صحيه2!I9+ت.صحيه3!C9+ت.صحيه3!E9+ت.صحيه3!G9</f>
        <v>503605</v>
      </c>
      <c r="I9" s="543" t="s">
        <v>357</v>
      </c>
      <c r="J9" s="462"/>
    </row>
    <row r="10" spans="1:39" s="289" customFormat="1" ht="15" customHeight="1" x14ac:dyDescent="0.25">
      <c r="A10" s="587" t="s">
        <v>30</v>
      </c>
      <c r="B10" s="571">
        <v>0</v>
      </c>
      <c r="C10" s="571">
        <v>0</v>
      </c>
      <c r="D10" s="571">
        <v>325</v>
      </c>
      <c r="E10" s="571">
        <f>D10*350</f>
        <v>113750</v>
      </c>
      <c r="F10" s="571">
        <v>544</v>
      </c>
      <c r="G10" s="571">
        <v>73760</v>
      </c>
      <c r="H10" s="719">
        <f>ت.صحيه1!C10+ت.صحيه1!E10+ت.صحيه1!G10+ت.صحيه1!I10+ت.صحيه1!K10+ت.صحيه2!C10+ت.صحيه2!E10+ت.صحيه2!G10+ت.صحيه2!I10+ت.صحيه3!C10+ت.صحيه3!E10+ت.صحيه3!G10</f>
        <v>915170</v>
      </c>
      <c r="I10" s="588" t="s">
        <v>31</v>
      </c>
      <c r="J10" s="45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</row>
    <row r="11" spans="1:39" s="289" customFormat="1" ht="15" customHeight="1" x14ac:dyDescent="0.25">
      <c r="A11" s="712" t="s">
        <v>3</v>
      </c>
      <c r="B11" s="713">
        <v>0</v>
      </c>
      <c r="C11" s="713">
        <v>0</v>
      </c>
      <c r="D11" s="713">
        <v>0</v>
      </c>
      <c r="E11" s="713">
        <v>0</v>
      </c>
      <c r="F11" s="713">
        <v>580</v>
      </c>
      <c r="G11" s="713">
        <v>63867</v>
      </c>
      <c r="H11" s="720">
        <f>ت.صحيه1!C11+ت.صحيه1!E11+ت.صحيه1!G11+ت.صحيه1!I11+ت.صحيه1!K11+ت.صحيه2!C11+ت.صحيه2!E11+ت.صحيه2!G11+ت.صحيه2!I11+ت.صحيه3!C11+ت.صحيه3!E11+ت.صحيه3!G11</f>
        <v>1853074</v>
      </c>
      <c r="I11" s="714" t="s">
        <v>15</v>
      </c>
      <c r="J11" s="45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</row>
    <row r="12" spans="1:39" s="289" customFormat="1" ht="15" customHeight="1" x14ac:dyDescent="0.25">
      <c r="A12" s="589" t="s">
        <v>342</v>
      </c>
      <c r="B12" s="571">
        <v>0</v>
      </c>
      <c r="C12" s="571">
        <v>0</v>
      </c>
      <c r="D12" s="571">
        <v>57</v>
      </c>
      <c r="E12" s="571">
        <v>8459</v>
      </c>
      <c r="F12" s="571">
        <v>314</v>
      </c>
      <c r="G12" s="571">
        <v>46182</v>
      </c>
      <c r="H12" s="719">
        <f>ت.صحيه1!C12+ت.صحيه1!E12+ت.صحيه1!G12+ت.صحيه1!I12+ت.صحيه1!K12+ت.صحيه2!C12+ت.صحيه2!E12+ت.صحيه2!G12+ت.صحيه2!I12+ت.صحيه3!C12+ت.صحيه3!E12+ت.صحيه3!G12</f>
        <v>573666</v>
      </c>
      <c r="I12" s="588" t="s">
        <v>337</v>
      </c>
      <c r="J12" s="45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</row>
    <row r="13" spans="1:39" s="289" customFormat="1" ht="15" customHeight="1" x14ac:dyDescent="0.25">
      <c r="A13" s="712" t="s">
        <v>4</v>
      </c>
      <c r="B13" s="713">
        <v>52</v>
      </c>
      <c r="C13" s="713">
        <f>B13*49</f>
        <v>2548</v>
      </c>
      <c r="D13" s="713">
        <v>4054</v>
      </c>
      <c r="E13" s="713">
        <v>115299</v>
      </c>
      <c r="F13" s="713">
        <v>4568</v>
      </c>
      <c r="G13" s="713">
        <v>661777</v>
      </c>
      <c r="H13" s="720">
        <f>ت.صحيه1!C13+ت.صحيه1!E13+ت.صحيه1!G13+ت.صحيه1!I13+ت.صحيه1!K13+ت.صحيه2!C13+ت.صحيه2!E13+ت.صحيه2!G13+ت.صحيه2!I13+ت.صحيه3!C13+ت.صحيه3!E13+ت.صحيه3!G13</f>
        <v>12333653</v>
      </c>
      <c r="I13" s="714" t="s">
        <v>16</v>
      </c>
      <c r="J13" s="45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</row>
    <row r="14" spans="1:39" s="289" customFormat="1" ht="15" customHeight="1" x14ac:dyDescent="0.25">
      <c r="A14" s="587" t="s">
        <v>5</v>
      </c>
      <c r="B14" s="571">
        <v>0</v>
      </c>
      <c r="C14" s="571">
        <v>0</v>
      </c>
      <c r="D14" s="571">
        <v>561</v>
      </c>
      <c r="E14" s="571">
        <v>57527</v>
      </c>
      <c r="F14" s="571">
        <v>652</v>
      </c>
      <c r="G14" s="571">
        <v>89291</v>
      </c>
      <c r="H14" s="719">
        <f>ت.صحيه1!C14+ت.صحيه1!E14+ت.صحيه1!G14+ت.صحيه1!I14+ت.صحيه1!K14+ت.صحيه2!C14+ت.صحيه2!E14+ت.صحيه2!G14+ت.صحيه2!I14+ت.صحيه3!C14+ت.صحيه3!E14+ت.صحيه3!G14</f>
        <v>1172934</v>
      </c>
      <c r="I14" s="588" t="s">
        <v>23</v>
      </c>
      <c r="J14" s="45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</row>
    <row r="15" spans="1:39" s="289" customFormat="1" ht="15" customHeight="1" x14ac:dyDescent="0.25">
      <c r="A15" s="712" t="s">
        <v>6</v>
      </c>
      <c r="B15" s="713">
        <v>770</v>
      </c>
      <c r="C15" s="713">
        <f>B15*75</f>
        <v>57750</v>
      </c>
      <c r="D15" s="713">
        <v>0</v>
      </c>
      <c r="E15" s="713">
        <v>0</v>
      </c>
      <c r="F15" s="713">
        <v>684</v>
      </c>
      <c r="G15" s="713">
        <v>93961</v>
      </c>
      <c r="H15" s="720">
        <f>ت.صحيه1!C15+ت.صحيه1!E15+ت.صحيه1!G15+ت.صحيه1!I15+ت.صحيه1!K15+ت.صحيه2!C15+ت.صحيه2!E15+ت.صحيه2!G15+ت.صحيه2!I15+ت.صحيه3!C15+ت.صحيه3!E15+ت.صحيه3!G15</f>
        <v>468369</v>
      </c>
      <c r="I15" s="714" t="s">
        <v>24</v>
      </c>
      <c r="J15" s="45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</row>
    <row r="16" spans="1:39" s="289" customFormat="1" ht="15" customHeight="1" x14ac:dyDescent="0.25">
      <c r="A16" s="587" t="s">
        <v>11</v>
      </c>
      <c r="B16" s="571">
        <v>0</v>
      </c>
      <c r="C16" s="571">
        <v>0</v>
      </c>
      <c r="D16" s="571">
        <v>137</v>
      </c>
      <c r="E16" s="571">
        <f>D16*750</f>
        <v>102750</v>
      </c>
      <c r="F16" s="571">
        <v>316</v>
      </c>
      <c r="G16" s="571">
        <v>46619</v>
      </c>
      <c r="H16" s="719">
        <f>ت.صحيه1!C16+ت.صحيه1!E16+ت.صحيه1!G16+ت.صحيه1!I16+ت.صحيه1!K16+ت.صحيه2!C16+ت.صحيه2!E16+ت.صحيه2!G16+ت.صحيه2!I16+ت.صحيه3!C16+ت.صحيه3!E16+ت.صحيه3!G16</f>
        <v>263918</v>
      </c>
      <c r="I16" s="588" t="s">
        <v>21</v>
      </c>
      <c r="J16" s="45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</row>
    <row r="17" spans="1:39" s="289" customFormat="1" ht="15" customHeight="1" x14ac:dyDescent="0.25">
      <c r="A17" s="712" t="s">
        <v>2</v>
      </c>
      <c r="B17" s="713">
        <v>0</v>
      </c>
      <c r="C17" s="713">
        <v>0</v>
      </c>
      <c r="D17" s="713">
        <v>73</v>
      </c>
      <c r="E17" s="713">
        <f>D17*750</f>
        <v>54750</v>
      </c>
      <c r="F17" s="713">
        <v>313</v>
      </c>
      <c r="G17" s="713">
        <v>32621</v>
      </c>
      <c r="H17" s="720">
        <f>ت.صحيه1!C17+ت.صحيه1!E17+ت.صحيه1!G17+ت.صحيه1!I17+ت.صحيه1!K17+ت.صحيه2!C17+ت.صحيه2!E17+ت.صحيه2!G17+ت.صحيه2!I17+ت.صحيه3!C17+ت.صحيه3!E17+ت.صحيه3!G17</f>
        <v>558957</v>
      </c>
      <c r="I17" s="714" t="s">
        <v>14</v>
      </c>
      <c r="J17" s="45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</row>
    <row r="18" spans="1:39" s="289" customFormat="1" ht="15" customHeight="1" x14ac:dyDescent="0.25">
      <c r="A18" s="587" t="s">
        <v>7</v>
      </c>
      <c r="B18" s="571">
        <v>8238</v>
      </c>
      <c r="C18" s="571">
        <f>B18*70</f>
        <v>576660</v>
      </c>
      <c r="D18" s="571">
        <v>446</v>
      </c>
      <c r="E18" s="571">
        <f>D18*555</f>
        <v>247530</v>
      </c>
      <c r="F18" s="571">
        <v>1011</v>
      </c>
      <c r="G18" s="571">
        <v>98427</v>
      </c>
      <c r="H18" s="719">
        <f>ت.صحيه1!C18+ت.صحيه1!E18+ت.صحيه1!G18+ت.صحيه1!I18+ت.صحيه1!K18+ت.صحيه2!C18+ت.صحيه2!E18+ت.صحيه2!G18+ت.صحيه2!I18+ت.صحيه3!C18+ت.صحيه3!E18+ت.صحيه3!G18</f>
        <v>1229401</v>
      </c>
      <c r="I18" s="588" t="s">
        <v>17</v>
      </c>
      <c r="J18" s="45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</row>
    <row r="19" spans="1:39" s="289" customFormat="1" ht="15" customHeight="1" x14ac:dyDescent="0.25">
      <c r="A19" s="712" t="s">
        <v>8</v>
      </c>
      <c r="B19" s="713">
        <v>0</v>
      </c>
      <c r="C19" s="713">
        <v>0</v>
      </c>
      <c r="D19" s="713">
        <v>0</v>
      </c>
      <c r="E19" s="713">
        <v>0</v>
      </c>
      <c r="F19" s="713">
        <v>667</v>
      </c>
      <c r="G19" s="713">
        <v>91186</v>
      </c>
      <c r="H19" s="720">
        <f>ت.صحيه1!C19+ت.صحيه1!E19+ت.صحيه1!G19+ت.صحيه1!I19+ت.صحيه1!K19+ت.صحيه2!C19+ت.صحيه2!E19+ت.صحيه2!G19+ت.صحيه2!I19+ت.صحيه3!C19+ت.صحيه3!E19+ت.صحيه3!G19</f>
        <v>965031</v>
      </c>
      <c r="I19" s="714" t="s">
        <v>18</v>
      </c>
      <c r="J19" s="45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</row>
    <row r="20" spans="1:39" s="289" customFormat="1" ht="15" customHeight="1" x14ac:dyDescent="0.25">
      <c r="A20" s="587" t="s">
        <v>9</v>
      </c>
      <c r="B20" s="571">
        <v>0</v>
      </c>
      <c r="C20" s="571">
        <v>0</v>
      </c>
      <c r="D20" s="571">
        <v>22</v>
      </c>
      <c r="E20" s="571">
        <f>D20*270</f>
        <v>5940</v>
      </c>
      <c r="F20" s="571">
        <v>327</v>
      </c>
      <c r="G20" s="571">
        <v>54602</v>
      </c>
      <c r="H20" s="719">
        <f>ت.صحيه1!C20+ت.صحيه1!E20+ت.صحيه1!G20+ت.صحيه1!I20+ت.صحيه1!K20+ت.صحيه2!C20+ت.صحيه2!E20+ت.صحيه2!G20+ت.صحيه2!I20+ت.صحيه3!C20+ت.صحيه3!E20+ت.صحيه3!G20</f>
        <v>1281346</v>
      </c>
      <c r="I20" s="588" t="s">
        <v>19</v>
      </c>
      <c r="J20" s="45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</row>
    <row r="21" spans="1:39" s="289" customFormat="1" ht="15" customHeight="1" x14ac:dyDescent="0.25">
      <c r="A21" s="712" t="s">
        <v>10</v>
      </c>
      <c r="B21" s="713">
        <v>0</v>
      </c>
      <c r="C21" s="713">
        <v>0</v>
      </c>
      <c r="D21" s="713">
        <v>41</v>
      </c>
      <c r="E21" s="713">
        <f>D21*740</f>
        <v>30340</v>
      </c>
      <c r="F21" s="713">
        <v>559</v>
      </c>
      <c r="G21" s="713">
        <v>64872</v>
      </c>
      <c r="H21" s="720">
        <f>ت.صحيه1!C21+ت.صحيه1!E21+ت.صحيه1!G21+ت.صحيه1!I21+ت.صحيه1!K21+ت.صحيه2!C21+ت.صحيه2!E21+ت.صحيه2!G21+ت.صحيه2!I21+ت.صحيه3!C21+ت.صحيه3!E21+ت.صحيه3!G21</f>
        <v>322172</v>
      </c>
      <c r="I21" s="714" t="s">
        <v>20</v>
      </c>
      <c r="J21" s="45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</row>
    <row r="22" spans="1:39" s="289" customFormat="1" ht="15" customHeight="1" x14ac:dyDescent="0.25">
      <c r="A22" s="587" t="s">
        <v>12</v>
      </c>
      <c r="B22" s="571">
        <v>0</v>
      </c>
      <c r="C22" s="571">
        <v>0</v>
      </c>
      <c r="D22" s="571">
        <v>7</v>
      </c>
      <c r="E22" s="571">
        <f>D22*750</f>
        <v>5250</v>
      </c>
      <c r="F22" s="571">
        <v>174</v>
      </c>
      <c r="G22" s="571">
        <v>23619</v>
      </c>
      <c r="H22" s="719">
        <f>ت.صحيه1!C22+ت.صحيه1!E22+ت.صحيه1!G22+ت.صحيه1!I22+ت.صحيه1!K22+ت.صحيه2!C22+ت.صحيه2!E22+ت.صحيه2!G22+ت.صحيه2!I22+ت.صحيه3!C22+ت.صحيه3!E22+ت.صحيه3!G22</f>
        <v>102850</v>
      </c>
      <c r="I22" s="588" t="s">
        <v>25</v>
      </c>
      <c r="J22" s="45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</row>
    <row r="23" spans="1:39" s="438" customFormat="1" ht="15" customHeight="1" thickBot="1" x14ac:dyDescent="0.3">
      <c r="A23" s="715" t="s">
        <v>13</v>
      </c>
      <c r="B23" s="716">
        <v>0</v>
      </c>
      <c r="C23" s="716">
        <v>0</v>
      </c>
      <c r="D23" s="716">
        <v>226</v>
      </c>
      <c r="E23" s="716">
        <f>D23*750</f>
        <v>169500</v>
      </c>
      <c r="F23" s="716">
        <v>546</v>
      </c>
      <c r="G23" s="716">
        <v>93251</v>
      </c>
      <c r="H23" s="720">
        <f>ت.صحيه1!C23+ت.صحيه1!E23+ت.صحيه1!G23+ت.صحيه1!I23+ت.صحيه1!K23+ت.صحيه2!C23+ت.صحيه2!E23+ت.صحيه2!G23+ت.صحيه2!I23+ت.صحيه3!C23+ت.صحيه3!E23+ت.صحيه3!G23</f>
        <v>1550071</v>
      </c>
      <c r="I23" s="717" t="s">
        <v>22</v>
      </c>
      <c r="J23" s="46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431" customFormat="1" ht="19.5" customHeight="1" thickBot="1" x14ac:dyDescent="0.25">
      <c r="A24" s="464" t="s">
        <v>0</v>
      </c>
      <c r="B24" s="459">
        <v>9807</v>
      </c>
      <c r="C24" s="459">
        <f>SUM(C9:C23)</f>
        <v>672814</v>
      </c>
      <c r="D24" s="459">
        <v>6050</v>
      </c>
      <c r="E24" s="459">
        <f>SUM(E9:E23)</f>
        <v>959878</v>
      </c>
      <c r="F24" s="459">
        <v>11470</v>
      </c>
      <c r="G24" s="459">
        <v>1566555</v>
      </c>
      <c r="H24" s="721">
        <f>SUM(H9:H23)</f>
        <v>24094217</v>
      </c>
      <c r="I24" s="465" t="s">
        <v>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6" customFormat="1" ht="19.5" customHeight="1" x14ac:dyDescent="0.2">
      <c r="A25" s="948"/>
      <c r="B25" s="948"/>
      <c r="C25" s="948"/>
      <c r="D25" s="948"/>
      <c r="E25" s="948"/>
      <c r="F25" s="948"/>
      <c r="G25" s="948"/>
      <c r="H25" s="198"/>
      <c r="I25" s="201"/>
    </row>
    <row r="26" spans="1:39" ht="14.25" x14ac:dyDescent="0.2">
      <c r="C26" s="6"/>
      <c r="D26" s="6"/>
      <c r="E26" s="6"/>
      <c r="F26" s="6"/>
      <c r="G26" s="6"/>
      <c r="H26" s="6"/>
      <c r="I26" s="186"/>
      <c r="J26" s="6"/>
    </row>
    <row r="27" spans="1:39" ht="15" customHeight="1" x14ac:dyDescent="0.25">
      <c r="A27" s="973"/>
      <c r="B27" s="973"/>
      <c r="C27" s="6"/>
      <c r="D27" s="6"/>
      <c r="E27" s="6"/>
      <c r="F27" s="6"/>
      <c r="G27" s="6"/>
      <c r="H27" s="6"/>
      <c r="I27" s="51"/>
      <c r="K27" s="51"/>
    </row>
  </sheetData>
  <mergeCells count="12">
    <mergeCell ref="H3:I3"/>
    <mergeCell ref="A27:B27"/>
    <mergeCell ref="A4:B4"/>
    <mergeCell ref="A1:I1"/>
    <mergeCell ref="A2:I2"/>
    <mergeCell ref="C4:D4"/>
    <mergeCell ref="F4:H4"/>
    <mergeCell ref="F6:G6"/>
    <mergeCell ref="D5:E5"/>
    <mergeCell ref="F5:G5"/>
    <mergeCell ref="D6:E6"/>
    <mergeCell ref="A25:G25"/>
  </mergeCells>
  <phoneticPr fontId="3" type="noConversion"/>
  <printOptions horizontalCentered="1" verticalCentered="1"/>
  <pageMargins left="0.46" right="0.91" top="0" bottom="0.98425196850393704" header="0.78740157480314998" footer="0.511811023622047"/>
  <pageSetup orientation="landscape" verticalDpi="300" r:id="rId1"/>
  <headerFooter alignWithMargins="0">
    <oddFooter>&amp;C45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33"/>
  <sheetViews>
    <sheetView rightToLeft="1" zoomScaleSheetLayoutView="100" workbookViewId="0">
      <selection activeCell="A4" sqref="A4"/>
    </sheetView>
  </sheetViews>
  <sheetFormatPr defaultRowHeight="12.75" x14ac:dyDescent="0.2"/>
  <cols>
    <col min="1" max="1" width="9.140625" customWidth="1"/>
    <col min="2" max="2" width="10" customWidth="1"/>
    <col min="3" max="3" width="13" customWidth="1"/>
    <col min="4" max="4" width="11.5703125" customWidth="1"/>
    <col min="5" max="5" width="14.140625" customWidth="1"/>
    <col min="6" max="6" width="10.42578125" customWidth="1"/>
    <col min="7" max="7" width="11" customWidth="1"/>
    <col min="8" max="9" width="11.5703125" style="6" customWidth="1"/>
    <col min="10" max="10" width="18.5703125" customWidth="1"/>
    <col min="11" max="11" width="0.28515625" hidden="1" customWidth="1"/>
    <col min="12" max="12" width="10" bestFit="1" customWidth="1"/>
  </cols>
  <sheetData>
    <row r="1" spans="1:14" ht="15" x14ac:dyDescent="0.2">
      <c r="A1" s="903" t="s">
        <v>442</v>
      </c>
      <c r="B1" s="903"/>
      <c r="C1" s="903"/>
      <c r="D1" s="903"/>
      <c r="E1" s="903"/>
      <c r="F1" s="903"/>
      <c r="G1" s="903"/>
      <c r="H1" s="903"/>
      <c r="I1" s="903"/>
      <c r="J1" s="903"/>
    </row>
    <row r="2" spans="1:14" ht="14.25" customHeight="1" x14ac:dyDescent="0.2">
      <c r="A2" s="911" t="s">
        <v>434</v>
      </c>
      <c r="B2" s="911"/>
      <c r="C2" s="911"/>
      <c r="D2" s="911"/>
      <c r="E2" s="911"/>
      <c r="F2" s="911"/>
      <c r="G2" s="911"/>
      <c r="H2" s="911"/>
      <c r="I2" s="911"/>
      <c r="J2" s="911"/>
    </row>
    <row r="3" spans="1:14" s="6" customFormat="1" ht="14.25" customHeight="1" x14ac:dyDescent="0.25">
      <c r="A3" s="205"/>
      <c r="B3" s="205"/>
      <c r="C3" s="205"/>
      <c r="D3" s="205"/>
      <c r="E3" s="205"/>
      <c r="F3" s="205"/>
      <c r="G3" s="926" t="s">
        <v>477</v>
      </c>
      <c r="H3" s="926"/>
      <c r="I3" s="926"/>
      <c r="J3" s="926"/>
    </row>
    <row r="4" spans="1:14" ht="15" customHeight="1" thickBot="1" x14ac:dyDescent="0.3">
      <c r="A4" s="846" t="s">
        <v>489</v>
      </c>
      <c r="B4" s="847"/>
      <c r="C4" s="942" t="s">
        <v>174</v>
      </c>
      <c r="D4" s="942"/>
      <c r="E4" s="942"/>
      <c r="F4" s="942"/>
      <c r="G4" s="942"/>
      <c r="H4" s="517"/>
      <c r="I4" s="517"/>
      <c r="J4" s="224" t="s">
        <v>320</v>
      </c>
    </row>
    <row r="5" spans="1:14" ht="15" customHeight="1" x14ac:dyDescent="0.2">
      <c r="A5" s="111"/>
      <c r="B5" s="945" t="s">
        <v>469</v>
      </c>
      <c r="C5" s="945"/>
      <c r="D5" s="945" t="s">
        <v>70</v>
      </c>
      <c r="E5" s="945"/>
      <c r="F5" s="945" t="s">
        <v>185</v>
      </c>
      <c r="G5" s="945"/>
      <c r="H5" s="150" t="s">
        <v>394</v>
      </c>
      <c r="I5" s="518"/>
      <c r="J5" s="36"/>
    </row>
    <row r="6" spans="1:14" ht="15" customHeight="1" x14ac:dyDescent="0.2">
      <c r="A6" s="32"/>
      <c r="B6" s="911" t="s">
        <v>272</v>
      </c>
      <c r="C6" s="911"/>
      <c r="D6" s="911" t="s">
        <v>167</v>
      </c>
      <c r="E6" s="911"/>
      <c r="F6" s="911" t="s">
        <v>273</v>
      </c>
      <c r="G6" s="911"/>
      <c r="H6" s="515"/>
      <c r="I6" s="515"/>
      <c r="J6" s="39"/>
    </row>
    <row r="7" spans="1:14" ht="15" customHeight="1" x14ac:dyDescent="0.2">
      <c r="A7" s="51"/>
      <c r="B7" s="316" t="s">
        <v>36</v>
      </c>
      <c r="C7" s="316" t="s">
        <v>224</v>
      </c>
      <c r="D7" s="316" t="s">
        <v>189</v>
      </c>
      <c r="E7" s="317" t="s">
        <v>227</v>
      </c>
      <c r="F7" s="315" t="s">
        <v>42</v>
      </c>
      <c r="G7" s="315" t="s">
        <v>224</v>
      </c>
      <c r="H7" s="520" t="s">
        <v>479</v>
      </c>
      <c r="I7" s="516"/>
      <c r="J7" s="39"/>
    </row>
    <row r="8" spans="1:14" ht="15" customHeight="1" thickBot="1" x14ac:dyDescent="0.25">
      <c r="A8" s="343" t="s">
        <v>54</v>
      </c>
      <c r="B8" s="346" t="s">
        <v>131</v>
      </c>
      <c r="C8" s="344" t="s">
        <v>29</v>
      </c>
      <c r="D8" s="346" t="s">
        <v>128</v>
      </c>
      <c r="E8" s="346" t="s">
        <v>29</v>
      </c>
      <c r="F8" s="346" t="s">
        <v>43</v>
      </c>
      <c r="G8" s="346" t="s">
        <v>186</v>
      </c>
      <c r="H8" s="346" t="s">
        <v>126</v>
      </c>
      <c r="I8" s="346" t="s">
        <v>83</v>
      </c>
      <c r="J8" s="64" t="s">
        <v>26</v>
      </c>
    </row>
    <row r="9" spans="1:14" s="289" customFormat="1" ht="15" customHeight="1" x14ac:dyDescent="0.2">
      <c r="A9" s="553" t="s">
        <v>356</v>
      </c>
      <c r="B9" s="538">
        <v>34</v>
      </c>
      <c r="C9" s="538">
        <v>18399</v>
      </c>
      <c r="D9" s="539">
        <v>36576</v>
      </c>
      <c r="E9" s="539">
        <v>433338</v>
      </c>
      <c r="F9" s="538">
        <v>1032</v>
      </c>
      <c r="G9" s="538">
        <v>58360</v>
      </c>
      <c r="H9" s="538">
        <v>4244</v>
      </c>
      <c r="I9" s="538">
        <v>27676</v>
      </c>
      <c r="J9" s="551" t="s">
        <v>357</v>
      </c>
    </row>
    <row r="10" spans="1:14" s="289" customFormat="1" ht="15" customHeight="1" x14ac:dyDescent="0.2">
      <c r="A10" s="570" t="s">
        <v>30</v>
      </c>
      <c r="B10" s="571">
        <v>0</v>
      </c>
      <c r="C10" s="571">
        <v>0</v>
      </c>
      <c r="D10" s="572">
        <v>103004</v>
      </c>
      <c r="E10" s="572">
        <v>1225592</v>
      </c>
      <c r="F10" s="571">
        <v>5045</v>
      </c>
      <c r="G10" s="571">
        <v>168728</v>
      </c>
      <c r="H10" s="571">
        <v>3947</v>
      </c>
      <c r="I10" s="571">
        <f>H10*3</f>
        <v>11841</v>
      </c>
      <c r="J10" s="573" t="s">
        <v>31</v>
      </c>
    </row>
    <row r="11" spans="1:14" s="289" customFormat="1" ht="15" customHeight="1" x14ac:dyDescent="0.2">
      <c r="A11" s="556" t="s">
        <v>3</v>
      </c>
      <c r="B11" s="538">
        <v>4281</v>
      </c>
      <c r="C11" s="538">
        <v>1075608</v>
      </c>
      <c r="D11" s="539">
        <v>107052</v>
      </c>
      <c r="E11" s="539">
        <v>1308608</v>
      </c>
      <c r="F11" s="538">
        <v>8168</v>
      </c>
      <c r="G11" s="538">
        <v>100862</v>
      </c>
      <c r="H11" s="538">
        <v>8439</v>
      </c>
      <c r="I11" s="538">
        <v>189</v>
      </c>
      <c r="J11" s="551" t="s">
        <v>15</v>
      </c>
    </row>
    <row r="12" spans="1:14" s="289" customFormat="1" ht="15" customHeight="1" x14ac:dyDescent="0.2">
      <c r="A12" s="570" t="s">
        <v>342</v>
      </c>
      <c r="B12" s="571">
        <v>403</v>
      </c>
      <c r="C12" s="571">
        <v>89765</v>
      </c>
      <c r="D12" s="572">
        <v>54501</v>
      </c>
      <c r="E12" s="572">
        <v>647533</v>
      </c>
      <c r="F12" s="571">
        <v>2295</v>
      </c>
      <c r="G12" s="571">
        <v>134374</v>
      </c>
      <c r="H12" s="571">
        <v>3731</v>
      </c>
      <c r="I12" s="571">
        <f>H12*2</f>
        <v>7462</v>
      </c>
      <c r="J12" s="573" t="s">
        <v>337</v>
      </c>
      <c r="N12" s="289" t="s">
        <v>396</v>
      </c>
    </row>
    <row r="13" spans="1:14" s="289" customFormat="1" ht="15" customHeight="1" x14ac:dyDescent="0.2">
      <c r="A13" s="556" t="s">
        <v>4</v>
      </c>
      <c r="B13" s="538">
        <v>290381</v>
      </c>
      <c r="C13" s="538">
        <v>120700393</v>
      </c>
      <c r="D13" s="539">
        <v>916515</v>
      </c>
      <c r="E13" s="539">
        <v>11681308</v>
      </c>
      <c r="F13" s="538">
        <v>64817</v>
      </c>
      <c r="G13" s="538">
        <v>1936218</v>
      </c>
      <c r="H13" s="538">
        <v>102937</v>
      </c>
      <c r="I13" s="538">
        <v>62221</v>
      </c>
      <c r="J13" s="551" t="s">
        <v>16</v>
      </c>
    </row>
    <row r="14" spans="1:14" s="289" customFormat="1" ht="15" customHeight="1" x14ac:dyDescent="0.2">
      <c r="A14" s="570" t="s">
        <v>5</v>
      </c>
      <c r="B14" s="571">
        <v>931</v>
      </c>
      <c r="C14" s="571">
        <v>309713</v>
      </c>
      <c r="D14" s="572">
        <v>134022</v>
      </c>
      <c r="E14" s="572">
        <v>1587246</v>
      </c>
      <c r="F14" s="571">
        <v>6975</v>
      </c>
      <c r="G14" s="571">
        <v>326827</v>
      </c>
      <c r="H14" s="571">
        <v>9365</v>
      </c>
      <c r="I14" s="571">
        <f>H14*3</f>
        <v>28095</v>
      </c>
      <c r="J14" s="573" t="s">
        <v>23</v>
      </c>
    </row>
    <row r="15" spans="1:14" s="289" customFormat="1" ht="15" customHeight="1" x14ac:dyDescent="0.2">
      <c r="A15" s="556" t="s">
        <v>6</v>
      </c>
      <c r="B15" s="538">
        <v>964</v>
      </c>
      <c r="C15" s="538">
        <v>299688</v>
      </c>
      <c r="D15" s="539">
        <v>97964</v>
      </c>
      <c r="E15" s="539">
        <v>1064490</v>
      </c>
      <c r="F15" s="538">
        <v>9078</v>
      </c>
      <c r="G15" s="538">
        <v>324816</v>
      </c>
      <c r="H15" s="538">
        <v>4036</v>
      </c>
      <c r="I15" s="538">
        <v>166</v>
      </c>
      <c r="J15" s="551" t="s">
        <v>24</v>
      </c>
    </row>
    <row r="16" spans="1:14" s="289" customFormat="1" ht="15" customHeight="1" x14ac:dyDescent="0.2">
      <c r="A16" s="570" t="s">
        <v>11</v>
      </c>
      <c r="B16" s="571">
        <v>274</v>
      </c>
      <c r="C16" s="571">
        <v>109436</v>
      </c>
      <c r="D16" s="572">
        <v>43539</v>
      </c>
      <c r="E16" s="572">
        <v>484192</v>
      </c>
      <c r="F16" s="571">
        <v>3474</v>
      </c>
      <c r="G16" s="571">
        <v>104399</v>
      </c>
      <c r="H16" s="571">
        <v>6636</v>
      </c>
      <c r="I16" s="571">
        <v>5188</v>
      </c>
      <c r="J16" s="573" t="s">
        <v>21</v>
      </c>
    </row>
    <row r="17" spans="1:12" s="289" customFormat="1" ht="15.75" customHeight="1" x14ac:dyDescent="0.2">
      <c r="A17" s="556" t="s">
        <v>2</v>
      </c>
      <c r="B17" s="538">
        <v>178</v>
      </c>
      <c r="C17" s="538">
        <v>35583</v>
      </c>
      <c r="D17" s="539">
        <v>37530</v>
      </c>
      <c r="E17" s="539">
        <v>332647</v>
      </c>
      <c r="F17" s="538">
        <v>2718</v>
      </c>
      <c r="G17" s="538">
        <v>69822</v>
      </c>
      <c r="H17" s="538">
        <v>2090</v>
      </c>
      <c r="I17" s="538">
        <v>419</v>
      </c>
      <c r="J17" s="551" t="s">
        <v>14</v>
      </c>
    </row>
    <row r="18" spans="1:12" s="289" customFormat="1" ht="15" customHeight="1" x14ac:dyDescent="0.2">
      <c r="A18" s="570" t="s">
        <v>7</v>
      </c>
      <c r="B18" s="571">
        <v>2110</v>
      </c>
      <c r="C18" s="571">
        <v>1048488</v>
      </c>
      <c r="D18" s="572">
        <v>228615</v>
      </c>
      <c r="E18" s="572">
        <v>1857416</v>
      </c>
      <c r="F18" s="571">
        <v>12340</v>
      </c>
      <c r="G18" s="571">
        <v>316864</v>
      </c>
      <c r="H18" s="571">
        <v>18005</v>
      </c>
      <c r="I18" s="571">
        <v>35122</v>
      </c>
      <c r="J18" s="573" t="s">
        <v>17</v>
      </c>
    </row>
    <row r="19" spans="1:12" s="289" customFormat="1" ht="15" customHeight="1" x14ac:dyDescent="0.2">
      <c r="A19" s="556" t="s">
        <v>8</v>
      </c>
      <c r="B19" s="538">
        <v>545</v>
      </c>
      <c r="C19" s="538">
        <v>203225</v>
      </c>
      <c r="D19" s="539">
        <v>110820</v>
      </c>
      <c r="E19" s="539">
        <v>904550</v>
      </c>
      <c r="F19" s="538">
        <v>8411</v>
      </c>
      <c r="G19" s="538">
        <v>163907</v>
      </c>
      <c r="H19" s="538">
        <v>5672</v>
      </c>
      <c r="I19" s="538">
        <f>H19*3</f>
        <v>17016</v>
      </c>
      <c r="J19" s="551" t="s">
        <v>18</v>
      </c>
    </row>
    <row r="20" spans="1:12" s="289" customFormat="1" ht="15" customHeight="1" x14ac:dyDescent="0.2">
      <c r="A20" s="570" t="s">
        <v>9</v>
      </c>
      <c r="B20" s="571">
        <v>0</v>
      </c>
      <c r="C20" s="571">
        <v>0</v>
      </c>
      <c r="D20" s="572">
        <v>60923</v>
      </c>
      <c r="E20" s="572">
        <v>487737</v>
      </c>
      <c r="F20" s="571">
        <v>5262</v>
      </c>
      <c r="G20" s="571">
        <v>133953</v>
      </c>
      <c r="H20" s="571">
        <v>5888</v>
      </c>
      <c r="I20" s="571">
        <v>216</v>
      </c>
      <c r="J20" s="573" t="s">
        <v>19</v>
      </c>
    </row>
    <row r="21" spans="1:12" s="289" customFormat="1" ht="15" customHeight="1" x14ac:dyDescent="0.2">
      <c r="A21" s="556" t="s">
        <v>10</v>
      </c>
      <c r="B21" s="538">
        <v>0</v>
      </c>
      <c r="C21" s="538">
        <v>0</v>
      </c>
      <c r="D21" s="539">
        <v>130589</v>
      </c>
      <c r="E21" s="539">
        <v>1297604</v>
      </c>
      <c r="F21" s="538">
        <v>5063</v>
      </c>
      <c r="G21" s="538">
        <v>139322</v>
      </c>
      <c r="H21" s="538">
        <v>7008</v>
      </c>
      <c r="I21" s="538">
        <f>H21*2</f>
        <v>14016</v>
      </c>
      <c r="J21" s="551" t="s">
        <v>20</v>
      </c>
    </row>
    <row r="22" spans="1:12" s="289" customFormat="1" ht="15" customHeight="1" x14ac:dyDescent="0.2">
      <c r="A22" s="570" t="s">
        <v>12</v>
      </c>
      <c r="B22" s="571">
        <v>5</v>
      </c>
      <c r="C22" s="571">
        <v>2151</v>
      </c>
      <c r="D22" s="572">
        <v>24525</v>
      </c>
      <c r="E22" s="572">
        <v>220970</v>
      </c>
      <c r="F22" s="571">
        <v>1167</v>
      </c>
      <c r="G22" s="571">
        <v>29200</v>
      </c>
      <c r="H22" s="571">
        <v>1606</v>
      </c>
      <c r="I22" s="571">
        <v>2151</v>
      </c>
      <c r="J22" s="573" t="s">
        <v>25</v>
      </c>
    </row>
    <row r="23" spans="1:12" s="289" customFormat="1" ht="15" customHeight="1" thickBot="1" x14ac:dyDescent="0.25">
      <c r="A23" s="556" t="s">
        <v>13</v>
      </c>
      <c r="B23" s="538">
        <v>0</v>
      </c>
      <c r="C23" s="538">
        <v>0</v>
      </c>
      <c r="D23" s="539">
        <v>129314</v>
      </c>
      <c r="E23" s="539">
        <v>1275389</v>
      </c>
      <c r="F23" s="538">
        <v>6444</v>
      </c>
      <c r="G23" s="538">
        <v>242503</v>
      </c>
      <c r="H23" s="538">
        <v>9595</v>
      </c>
      <c r="I23" s="538">
        <f>H23*3</f>
        <v>28785</v>
      </c>
      <c r="J23" s="551" t="s">
        <v>22</v>
      </c>
    </row>
    <row r="24" spans="1:12" s="289" customFormat="1" ht="24" customHeight="1" thickTop="1" thickBot="1" x14ac:dyDescent="0.25">
      <c r="A24" s="792" t="s">
        <v>0</v>
      </c>
      <c r="B24" s="793">
        <v>300106</v>
      </c>
      <c r="C24" s="793">
        <v>123892449</v>
      </c>
      <c r="D24" s="793">
        <v>2215489</v>
      </c>
      <c r="E24" s="793">
        <v>24808620</v>
      </c>
      <c r="F24" s="795">
        <v>142289</v>
      </c>
      <c r="G24" s="795">
        <v>4250155</v>
      </c>
      <c r="H24" s="795">
        <v>193199</v>
      </c>
      <c r="I24" s="795">
        <f>SUM(I9:I23)</f>
        <v>240563</v>
      </c>
      <c r="J24" s="796" t="s">
        <v>1</v>
      </c>
    </row>
    <row r="25" spans="1:12" s="6" customFormat="1" ht="16.5" customHeight="1" thickTop="1" x14ac:dyDescent="0.2">
      <c r="A25" s="948"/>
      <c r="B25" s="948"/>
      <c r="C25" s="948"/>
      <c r="D25" s="948"/>
      <c r="E25" s="78"/>
      <c r="F25" s="78"/>
      <c r="G25" s="78"/>
      <c r="H25" s="78"/>
      <c r="I25" s="78"/>
      <c r="J25" s="200"/>
    </row>
    <row r="26" spans="1:12" ht="14.25" x14ac:dyDescent="0.2">
      <c r="B26" s="6"/>
      <c r="C26" s="6"/>
      <c r="D26" s="6"/>
      <c r="E26" s="6"/>
      <c r="J26" s="186"/>
      <c r="L26" s="6"/>
    </row>
    <row r="27" spans="1:12" ht="15" x14ac:dyDescent="0.25">
      <c r="A27" s="519"/>
      <c r="B27" s="6"/>
      <c r="C27" s="6"/>
      <c r="D27" s="6"/>
      <c r="E27" s="6"/>
      <c r="G27" s="974"/>
      <c r="H27" s="974"/>
      <c r="I27" s="974"/>
      <c r="J27" s="974"/>
      <c r="L27" s="6"/>
    </row>
    <row r="28" spans="1:12" x14ac:dyDescent="0.2">
      <c r="L28" s="6"/>
    </row>
    <row r="29" spans="1:12" x14ac:dyDescent="0.2">
      <c r="L29" s="6"/>
    </row>
    <row r="30" spans="1:12" x14ac:dyDescent="0.2">
      <c r="L30" s="6"/>
    </row>
    <row r="31" spans="1:12" x14ac:dyDescent="0.2">
      <c r="L31" s="6"/>
    </row>
    <row r="32" spans="1:12" x14ac:dyDescent="0.2">
      <c r="L32" s="6"/>
    </row>
    <row r="33" spans="12:12" x14ac:dyDescent="0.2">
      <c r="L33" s="6"/>
    </row>
  </sheetData>
  <mergeCells count="12">
    <mergeCell ref="A1:J1"/>
    <mergeCell ref="A2:J2"/>
    <mergeCell ref="C4:G4"/>
    <mergeCell ref="G3:J3"/>
    <mergeCell ref="G27:J27"/>
    <mergeCell ref="A25:D25"/>
    <mergeCell ref="B5:C5"/>
    <mergeCell ref="B6:C6"/>
    <mergeCell ref="D5:E5"/>
    <mergeCell ref="D6:E6"/>
    <mergeCell ref="F5:G5"/>
    <mergeCell ref="F6:G6"/>
  </mergeCells>
  <phoneticPr fontId="3" type="noConversion"/>
  <printOptions horizontalCentered="1" verticalCentered="1"/>
  <pageMargins left="0.31" right="0.35" top="0.78" bottom="0.98425196850393704" header="0.83" footer="0.511811023622047"/>
  <pageSetup scale="99" orientation="landscape" verticalDpi="300" r:id="rId1"/>
  <headerFooter alignWithMargins="0">
    <oddFooter>&amp;C46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CG27"/>
  <sheetViews>
    <sheetView rightToLeft="1" zoomScale="87" zoomScaleNormal="87" zoomScaleSheetLayoutView="100" workbookViewId="0">
      <selection activeCell="A4" sqref="A4:D4"/>
    </sheetView>
  </sheetViews>
  <sheetFormatPr defaultRowHeight="12.75" x14ac:dyDescent="0.2"/>
  <cols>
    <col min="1" max="1" width="8.85546875" customWidth="1"/>
    <col min="2" max="2" width="11.5703125" customWidth="1"/>
    <col min="3" max="3" width="13.28515625" customWidth="1"/>
    <col min="4" max="4" width="11.7109375" customWidth="1"/>
    <col min="5" max="5" width="11.42578125" customWidth="1"/>
    <col min="6" max="6" width="11.7109375" customWidth="1"/>
    <col min="7" max="7" width="10.85546875" customWidth="1"/>
    <col min="8" max="8" width="10" customWidth="1"/>
    <col min="9" max="9" width="11.85546875" customWidth="1"/>
    <col min="10" max="10" width="12.28515625" customWidth="1"/>
    <col min="11" max="11" width="14" customWidth="1"/>
    <col min="12" max="12" width="18.140625" customWidth="1"/>
    <col min="13" max="13" width="0.140625" hidden="1" customWidth="1"/>
    <col min="14" max="16" width="9.140625" hidden="1" customWidth="1"/>
  </cols>
  <sheetData>
    <row r="1" spans="1:761" ht="16.5" customHeight="1" x14ac:dyDescent="0.2">
      <c r="A1" s="903" t="s">
        <v>442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</row>
    <row r="2" spans="1:761" ht="22.5" customHeight="1" x14ac:dyDescent="0.2">
      <c r="A2" s="905" t="s">
        <v>434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</row>
    <row r="3" spans="1:761" s="6" customFormat="1" ht="22.5" customHeight="1" x14ac:dyDescent="0.2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926" t="s">
        <v>477</v>
      </c>
      <c r="L3" s="92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</row>
    <row r="4" spans="1:761" ht="15" customHeight="1" thickBot="1" x14ac:dyDescent="0.3">
      <c r="A4" s="968" t="s">
        <v>493</v>
      </c>
      <c r="B4" s="968"/>
      <c r="C4" s="968"/>
      <c r="D4" s="968"/>
      <c r="E4" s="24"/>
      <c r="F4" s="24"/>
      <c r="G4" s="933" t="s">
        <v>262</v>
      </c>
      <c r="H4" s="933"/>
      <c r="I4" s="933"/>
      <c r="J4" s="933"/>
      <c r="K4" s="933"/>
      <c r="L4" s="93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</row>
    <row r="5" spans="1:761" ht="15" customHeight="1" x14ac:dyDescent="0.25">
      <c r="A5" s="31"/>
      <c r="B5" s="945" t="s">
        <v>67</v>
      </c>
      <c r="C5" s="945"/>
      <c r="D5" s="945" t="s">
        <v>68</v>
      </c>
      <c r="E5" s="945"/>
      <c r="F5" s="945" t="s">
        <v>69</v>
      </c>
      <c r="G5" s="945"/>
      <c r="H5" s="945" t="s">
        <v>195</v>
      </c>
      <c r="I5" s="945"/>
      <c r="J5" s="1016" t="s">
        <v>187</v>
      </c>
      <c r="K5" s="1016"/>
      <c r="L5" s="3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</row>
    <row r="6" spans="1:761" s="6" customFormat="1" ht="31.5" customHeight="1" x14ac:dyDescent="0.2">
      <c r="A6" s="31"/>
      <c r="B6" s="903" t="s">
        <v>250</v>
      </c>
      <c r="C6" s="903"/>
      <c r="D6" s="903" t="s">
        <v>274</v>
      </c>
      <c r="E6" s="903"/>
      <c r="F6" s="903" t="s">
        <v>295</v>
      </c>
      <c r="G6" s="903"/>
      <c r="H6" s="903" t="s">
        <v>275</v>
      </c>
      <c r="I6" s="903"/>
      <c r="J6" s="1017" t="s">
        <v>243</v>
      </c>
      <c r="K6" s="1017"/>
      <c r="L6" s="3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</row>
    <row r="7" spans="1:761" ht="19.5" customHeight="1" x14ac:dyDescent="0.2">
      <c r="A7" s="51"/>
      <c r="B7" s="317" t="s">
        <v>233</v>
      </c>
      <c r="C7" s="53" t="s">
        <v>224</v>
      </c>
      <c r="D7" s="53" t="s">
        <v>66</v>
      </c>
      <c r="E7" s="53" t="s">
        <v>224</v>
      </c>
      <c r="F7" s="53" t="s">
        <v>66</v>
      </c>
      <c r="G7" s="53" t="s">
        <v>224</v>
      </c>
      <c r="H7" s="53" t="s">
        <v>66</v>
      </c>
      <c r="I7" s="53" t="s">
        <v>224</v>
      </c>
      <c r="J7" s="53" t="s">
        <v>233</v>
      </c>
      <c r="K7" s="53" t="s">
        <v>224</v>
      </c>
      <c r="L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</row>
    <row r="8" spans="1:761" s="348" customFormat="1" ht="21" customHeight="1" thickBot="1" x14ac:dyDescent="0.25">
      <c r="A8" s="343" t="s">
        <v>50</v>
      </c>
      <c r="B8" s="346" t="s">
        <v>234</v>
      </c>
      <c r="C8" s="346" t="s">
        <v>29</v>
      </c>
      <c r="D8" s="346" t="s">
        <v>126</v>
      </c>
      <c r="E8" s="346" t="s">
        <v>29</v>
      </c>
      <c r="F8" s="346" t="s">
        <v>126</v>
      </c>
      <c r="G8" s="346" t="s">
        <v>29</v>
      </c>
      <c r="H8" s="346">
        <v>0</v>
      </c>
      <c r="I8" s="346" t="s">
        <v>29</v>
      </c>
      <c r="J8" s="346" t="s">
        <v>128</v>
      </c>
      <c r="K8" s="346" t="s">
        <v>83</v>
      </c>
      <c r="L8" s="797" t="s">
        <v>26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</row>
    <row r="9" spans="1:761" s="289" customFormat="1" ht="15" customHeight="1" x14ac:dyDescent="0.2">
      <c r="A9" s="460" t="s">
        <v>356</v>
      </c>
      <c r="B9" s="466">
        <v>22</v>
      </c>
      <c r="C9" s="466">
        <f>B9*3</f>
        <v>66</v>
      </c>
      <c r="D9" s="466">
        <v>0</v>
      </c>
      <c r="E9" s="466">
        <v>0</v>
      </c>
      <c r="F9" s="466">
        <v>0</v>
      </c>
      <c r="G9" s="466">
        <v>0</v>
      </c>
      <c r="H9" s="467">
        <v>0</v>
      </c>
      <c r="I9" s="467">
        <v>0</v>
      </c>
      <c r="J9" s="466">
        <v>0</v>
      </c>
      <c r="K9" s="466">
        <v>0</v>
      </c>
      <c r="L9" s="468" t="s">
        <v>357</v>
      </c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  <c r="BB9" s="395"/>
      <c r="BC9" s="395"/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5"/>
      <c r="BX9" s="395"/>
      <c r="BY9" s="395"/>
      <c r="BZ9" s="395"/>
      <c r="CA9" s="395"/>
      <c r="CB9" s="395"/>
      <c r="CC9" s="395"/>
      <c r="CD9" s="395"/>
      <c r="CE9" s="395"/>
      <c r="CF9" s="395"/>
      <c r="CG9" s="395"/>
      <c r="CH9" s="395"/>
      <c r="CI9" s="395"/>
      <c r="CJ9" s="395"/>
      <c r="CK9" s="395"/>
      <c r="CL9" s="395"/>
      <c r="CM9" s="395"/>
      <c r="CN9" s="395"/>
      <c r="CO9" s="395"/>
      <c r="CP9" s="395"/>
      <c r="CQ9" s="395"/>
      <c r="CR9" s="395"/>
      <c r="CS9" s="395"/>
      <c r="CT9" s="395"/>
      <c r="CU9" s="395"/>
      <c r="CV9" s="395"/>
      <c r="CW9" s="395"/>
      <c r="CX9" s="395"/>
      <c r="CY9" s="395"/>
      <c r="CZ9" s="395"/>
      <c r="DA9" s="395"/>
      <c r="DB9" s="395"/>
      <c r="DC9" s="395"/>
      <c r="DD9" s="395"/>
      <c r="DE9" s="395"/>
      <c r="DF9" s="395"/>
      <c r="DG9" s="395"/>
      <c r="DH9" s="395"/>
      <c r="DI9" s="395"/>
      <c r="DJ9" s="395"/>
      <c r="DK9" s="395"/>
      <c r="DL9" s="395"/>
      <c r="DM9" s="395"/>
      <c r="DN9" s="395"/>
      <c r="DO9" s="395"/>
      <c r="DP9" s="395"/>
      <c r="DQ9" s="395"/>
      <c r="DR9" s="395"/>
      <c r="DS9" s="395"/>
      <c r="DT9" s="395"/>
      <c r="DU9" s="395"/>
      <c r="DV9" s="395"/>
      <c r="DW9" s="395"/>
      <c r="DX9" s="395"/>
      <c r="DY9" s="395"/>
      <c r="DZ9" s="395"/>
      <c r="EA9" s="395"/>
      <c r="EB9" s="395"/>
      <c r="EC9" s="395"/>
      <c r="ED9" s="395"/>
      <c r="EE9" s="395"/>
      <c r="EF9" s="395"/>
      <c r="EG9" s="395"/>
      <c r="EH9" s="395"/>
      <c r="EI9" s="395"/>
      <c r="EJ9" s="395"/>
      <c r="EK9" s="395"/>
      <c r="EL9" s="395"/>
      <c r="EM9" s="395"/>
      <c r="EN9" s="395"/>
      <c r="EO9" s="395"/>
      <c r="EP9" s="395"/>
      <c r="EQ9" s="395"/>
      <c r="ER9" s="395"/>
      <c r="ES9" s="395"/>
      <c r="ET9" s="395"/>
      <c r="EU9" s="395"/>
      <c r="EV9" s="395"/>
      <c r="EW9" s="395"/>
      <c r="EX9" s="395"/>
      <c r="EY9" s="395"/>
      <c r="EZ9" s="395"/>
      <c r="FA9" s="395"/>
      <c r="FB9" s="395"/>
      <c r="FC9" s="395"/>
      <c r="FD9" s="395"/>
      <c r="FE9" s="395"/>
      <c r="FF9" s="395"/>
      <c r="FG9" s="395"/>
      <c r="FH9" s="395"/>
      <c r="FI9" s="395"/>
      <c r="FJ9" s="395"/>
      <c r="FK9" s="395"/>
      <c r="FL9" s="395"/>
      <c r="FM9" s="395"/>
      <c r="FN9" s="395"/>
      <c r="FO9" s="395"/>
      <c r="FP9" s="395"/>
      <c r="FQ9" s="395"/>
      <c r="FR9" s="395"/>
      <c r="FS9" s="395"/>
      <c r="FT9" s="395"/>
      <c r="FU9" s="395"/>
      <c r="FV9" s="395"/>
      <c r="FW9" s="395"/>
      <c r="FX9" s="395"/>
      <c r="FY9" s="395"/>
      <c r="FZ9" s="395"/>
      <c r="GA9" s="395"/>
      <c r="GB9" s="395"/>
      <c r="GC9" s="395"/>
      <c r="GD9" s="395"/>
      <c r="GE9" s="395"/>
      <c r="GF9" s="395"/>
      <c r="GG9" s="395"/>
      <c r="GH9" s="395"/>
      <c r="GI9" s="395"/>
      <c r="GJ9" s="395"/>
      <c r="GK9" s="395"/>
      <c r="GL9" s="395"/>
      <c r="GM9" s="395"/>
      <c r="GN9" s="395"/>
      <c r="GO9" s="395"/>
      <c r="GP9" s="395"/>
      <c r="GQ9" s="395"/>
      <c r="GR9" s="395"/>
      <c r="GS9" s="395"/>
      <c r="GT9" s="395"/>
      <c r="GU9" s="395"/>
      <c r="GV9" s="395"/>
      <c r="GW9" s="395"/>
      <c r="GX9" s="395"/>
      <c r="GY9" s="395"/>
      <c r="GZ9" s="395"/>
      <c r="HA9" s="395"/>
      <c r="HB9" s="395"/>
      <c r="HC9" s="395"/>
      <c r="HD9" s="395"/>
      <c r="HE9" s="395"/>
      <c r="HF9" s="395"/>
      <c r="HG9" s="395"/>
      <c r="HH9" s="395"/>
      <c r="HI9" s="395"/>
      <c r="HJ9" s="395"/>
      <c r="HK9" s="395"/>
      <c r="HL9" s="395"/>
      <c r="HM9" s="395"/>
      <c r="HN9" s="395"/>
      <c r="HO9" s="395"/>
      <c r="HP9" s="395"/>
      <c r="HQ9" s="395"/>
      <c r="HR9" s="395"/>
      <c r="HS9" s="395"/>
      <c r="HT9" s="395"/>
      <c r="HU9" s="395"/>
      <c r="HV9" s="395"/>
      <c r="HW9" s="395"/>
      <c r="HX9" s="395"/>
      <c r="HY9" s="395"/>
      <c r="HZ9" s="395"/>
      <c r="IA9" s="395"/>
      <c r="IB9" s="395"/>
      <c r="IC9" s="395"/>
      <c r="ID9" s="395"/>
      <c r="IE9" s="395"/>
      <c r="IF9" s="395"/>
      <c r="IG9" s="395"/>
      <c r="IH9" s="395"/>
      <c r="II9" s="395"/>
      <c r="IJ9" s="395"/>
      <c r="IK9" s="395"/>
      <c r="IL9" s="395"/>
      <c r="IM9" s="395"/>
      <c r="IN9" s="395"/>
      <c r="IO9" s="395"/>
      <c r="IP9" s="395"/>
      <c r="IQ9" s="395"/>
      <c r="IR9" s="395"/>
      <c r="IS9" s="395"/>
      <c r="IT9" s="395"/>
      <c r="IU9" s="395"/>
      <c r="IV9" s="395"/>
      <c r="IW9" s="395"/>
      <c r="IX9" s="395"/>
      <c r="IY9" s="395"/>
      <c r="IZ9" s="395"/>
      <c r="JA9" s="395"/>
      <c r="JB9" s="395"/>
      <c r="JC9" s="395"/>
      <c r="JD9" s="395"/>
      <c r="JE9" s="395"/>
      <c r="JF9" s="395"/>
      <c r="JG9" s="395"/>
      <c r="JH9" s="395"/>
      <c r="JI9" s="395"/>
      <c r="JJ9" s="395"/>
      <c r="JK9" s="395"/>
      <c r="JL9" s="395"/>
      <c r="JM9" s="395"/>
      <c r="JN9" s="395"/>
      <c r="JO9" s="395"/>
      <c r="JP9" s="395"/>
      <c r="JQ9" s="395"/>
      <c r="JR9" s="395"/>
      <c r="JS9" s="395"/>
      <c r="JT9" s="395"/>
      <c r="JU9" s="395"/>
      <c r="JV9" s="395"/>
      <c r="JW9" s="395"/>
      <c r="JX9" s="395"/>
      <c r="JY9" s="395"/>
      <c r="JZ9" s="395"/>
      <c r="KA9" s="395"/>
      <c r="KB9" s="395"/>
      <c r="KC9" s="395"/>
      <c r="KD9" s="395"/>
      <c r="KE9" s="395"/>
      <c r="KF9" s="395"/>
      <c r="KG9" s="395"/>
      <c r="KH9" s="395"/>
      <c r="KI9" s="395"/>
      <c r="KJ9" s="395"/>
      <c r="KK9" s="395"/>
      <c r="KL9" s="395"/>
      <c r="KM9" s="395"/>
      <c r="KN9" s="395"/>
      <c r="KO9" s="395"/>
      <c r="KP9" s="395"/>
      <c r="KQ9" s="395"/>
      <c r="KR9" s="395"/>
      <c r="KS9" s="395"/>
      <c r="KT9" s="395"/>
      <c r="KU9" s="395"/>
      <c r="KV9" s="395"/>
      <c r="KW9" s="395"/>
      <c r="KX9" s="395"/>
      <c r="KY9" s="395"/>
      <c r="KZ9" s="395"/>
      <c r="LA9" s="395"/>
      <c r="LB9" s="395"/>
      <c r="LC9" s="395"/>
      <c r="LD9" s="395"/>
      <c r="LE9" s="395"/>
      <c r="LF9" s="395"/>
      <c r="LG9" s="395"/>
      <c r="LH9" s="395"/>
      <c r="LI9" s="395"/>
      <c r="LJ9" s="395"/>
      <c r="LK9" s="395"/>
      <c r="LL9" s="395"/>
      <c r="LM9" s="395"/>
      <c r="LN9" s="395"/>
      <c r="LO9" s="395"/>
      <c r="LP9" s="395"/>
      <c r="LQ9" s="395"/>
      <c r="LR9" s="395"/>
      <c r="LS9" s="395"/>
      <c r="LT9" s="395"/>
      <c r="LU9" s="395"/>
      <c r="LV9" s="395"/>
      <c r="LW9" s="395"/>
      <c r="LX9" s="395"/>
      <c r="LY9" s="395"/>
      <c r="LZ9" s="395"/>
      <c r="MA9" s="395"/>
      <c r="MB9" s="395"/>
      <c r="MC9" s="395"/>
      <c r="MD9" s="395"/>
      <c r="ME9" s="395"/>
      <c r="MF9" s="395"/>
      <c r="MG9" s="395"/>
      <c r="MH9" s="395"/>
      <c r="MI9" s="395"/>
      <c r="MJ9" s="395"/>
      <c r="MK9" s="395"/>
      <c r="ML9" s="395"/>
      <c r="MM9" s="395"/>
      <c r="MN9" s="395"/>
      <c r="MO9" s="395"/>
      <c r="MP9" s="395"/>
      <c r="MQ9" s="395"/>
      <c r="MR9" s="395"/>
      <c r="MS9" s="395"/>
      <c r="MT9" s="395"/>
      <c r="MU9" s="395"/>
      <c r="MV9" s="395"/>
      <c r="MW9" s="395"/>
      <c r="MX9" s="395"/>
      <c r="MY9" s="395"/>
      <c r="MZ9" s="395"/>
      <c r="NA9" s="395"/>
      <c r="NB9" s="395"/>
      <c r="NC9" s="395"/>
      <c r="ND9" s="395"/>
      <c r="NE9" s="395"/>
      <c r="NF9" s="395"/>
      <c r="NG9" s="395"/>
      <c r="NH9" s="395"/>
      <c r="NI9" s="395"/>
      <c r="NJ9" s="395"/>
      <c r="NK9" s="395"/>
      <c r="NL9" s="395"/>
      <c r="NM9" s="395"/>
      <c r="NN9" s="395"/>
      <c r="NO9" s="395"/>
      <c r="NP9" s="395"/>
      <c r="NQ9" s="395"/>
      <c r="NR9" s="395"/>
      <c r="NS9" s="395"/>
      <c r="NT9" s="395"/>
      <c r="NU9" s="395"/>
      <c r="NV9" s="395"/>
      <c r="NW9" s="395"/>
      <c r="NX9" s="395"/>
      <c r="NY9" s="395"/>
      <c r="NZ9" s="395"/>
      <c r="OA9" s="395"/>
      <c r="OB9" s="395"/>
      <c r="OC9" s="395"/>
      <c r="OD9" s="395"/>
      <c r="OE9" s="395"/>
      <c r="OF9" s="395"/>
      <c r="OG9" s="395"/>
      <c r="OH9" s="395"/>
      <c r="OI9" s="395"/>
      <c r="OJ9" s="395"/>
      <c r="OK9" s="395"/>
      <c r="OL9" s="395"/>
      <c r="OM9" s="395"/>
      <c r="ON9" s="395"/>
      <c r="OO9" s="395"/>
      <c r="OP9" s="395"/>
      <c r="OQ9" s="395"/>
      <c r="OR9" s="395"/>
      <c r="OS9" s="395"/>
      <c r="OT9" s="395"/>
      <c r="OU9" s="395"/>
      <c r="OV9" s="395"/>
      <c r="OW9" s="395"/>
      <c r="OX9" s="395"/>
      <c r="OY9" s="395"/>
      <c r="OZ9" s="395"/>
      <c r="PA9" s="395"/>
      <c r="PB9" s="395"/>
      <c r="PC9" s="395"/>
      <c r="PD9" s="395"/>
      <c r="PE9" s="395"/>
      <c r="PF9" s="395"/>
      <c r="PG9" s="395"/>
      <c r="PH9" s="395"/>
      <c r="PI9" s="395"/>
      <c r="PJ9" s="395"/>
      <c r="PK9" s="395"/>
      <c r="PL9" s="395"/>
      <c r="PM9" s="395"/>
      <c r="PN9" s="395"/>
      <c r="PO9" s="395"/>
      <c r="PP9" s="395"/>
      <c r="PQ9" s="395"/>
      <c r="PR9" s="395"/>
      <c r="PS9" s="395"/>
      <c r="PT9" s="395"/>
      <c r="PU9" s="395"/>
      <c r="PV9" s="395"/>
      <c r="PW9" s="395"/>
      <c r="PX9" s="395"/>
      <c r="PY9" s="395"/>
      <c r="PZ9" s="395"/>
      <c r="QA9" s="395"/>
      <c r="QB9" s="395"/>
      <c r="QC9" s="395"/>
      <c r="QD9" s="395"/>
      <c r="QE9" s="395"/>
      <c r="QF9" s="395"/>
      <c r="QG9" s="395"/>
      <c r="QH9" s="395"/>
      <c r="QI9" s="395"/>
      <c r="QJ9" s="395"/>
      <c r="QK9" s="395"/>
      <c r="QL9" s="395"/>
      <c r="QM9" s="395"/>
      <c r="QN9" s="395"/>
      <c r="QO9" s="395"/>
      <c r="QP9" s="395"/>
      <c r="QQ9" s="395"/>
      <c r="QR9" s="395"/>
      <c r="QS9" s="395"/>
      <c r="QT9" s="395"/>
      <c r="QU9" s="395"/>
      <c r="QV9" s="395"/>
      <c r="QW9" s="395"/>
      <c r="QX9" s="395"/>
      <c r="QY9" s="395"/>
      <c r="QZ9" s="395"/>
      <c r="RA9" s="395"/>
      <c r="RB9" s="395"/>
      <c r="RC9" s="395"/>
      <c r="RD9" s="395"/>
      <c r="RE9" s="395"/>
      <c r="RF9" s="395"/>
      <c r="RG9" s="395"/>
      <c r="RH9" s="395"/>
      <c r="RI9" s="395"/>
      <c r="RJ9" s="395"/>
      <c r="RK9" s="395"/>
      <c r="RL9" s="395"/>
      <c r="RM9" s="395"/>
      <c r="RN9" s="395"/>
      <c r="RO9" s="395"/>
      <c r="RP9" s="395"/>
      <c r="RQ9" s="395"/>
      <c r="RR9" s="395"/>
      <c r="RS9" s="395"/>
      <c r="RT9" s="395"/>
      <c r="RU9" s="395"/>
      <c r="RV9" s="395"/>
      <c r="RW9" s="395"/>
      <c r="RX9" s="395"/>
      <c r="RY9" s="395"/>
      <c r="RZ9" s="395"/>
      <c r="SA9" s="395"/>
      <c r="SB9" s="395"/>
      <c r="SC9" s="395"/>
      <c r="SD9" s="395"/>
      <c r="SE9" s="395"/>
      <c r="SF9" s="395"/>
      <c r="SG9" s="395"/>
      <c r="SH9" s="395"/>
      <c r="SI9" s="395"/>
      <c r="SJ9" s="395"/>
      <c r="SK9" s="395"/>
      <c r="SL9" s="395"/>
      <c r="SM9" s="395"/>
      <c r="SN9" s="395"/>
      <c r="SO9" s="395"/>
      <c r="SP9" s="395"/>
      <c r="SQ9" s="395"/>
      <c r="SR9" s="395"/>
      <c r="SS9" s="395"/>
      <c r="ST9" s="395"/>
      <c r="SU9" s="395"/>
      <c r="SV9" s="395"/>
      <c r="SW9" s="395"/>
      <c r="SX9" s="395"/>
      <c r="SY9" s="395"/>
      <c r="SZ9" s="395"/>
      <c r="TA9" s="395"/>
      <c r="TB9" s="395"/>
      <c r="TC9" s="395"/>
      <c r="TD9" s="395"/>
      <c r="TE9" s="395"/>
      <c r="TF9" s="395"/>
      <c r="TG9" s="395"/>
      <c r="TH9" s="395"/>
      <c r="TI9" s="395"/>
      <c r="TJ9" s="395"/>
      <c r="TK9" s="395"/>
      <c r="TL9" s="395"/>
      <c r="TM9" s="395"/>
      <c r="TN9" s="395"/>
      <c r="TO9" s="395"/>
      <c r="TP9" s="395"/>
      <c r="TQ9" s="395"/>
      <c r="TR9" s="395"/>
      <c r="TS9" s="395"/>
      <c r="TT9" s="395"/>
      <c r="TU9" s="395"/>
      <c r="TV9" s="395"/>
      <c r="TW9" s="395"/>
      <c r="TX9" s="395"/>
      <c r="TY9" s="395"/>
      <c r="TZ9" s="395"/>
      <c r="UA9" s="395"/>
      <c r="UB9" s="395"/>
      <c r="UC9" s="395"/>
      <c r="UD9" s="395"/>
      <c r="UE9" s="395"/>
      <c r="UF9" s="395"/>
      <c r="UG9" s="395"/>
      <c r="UH9" s="395"/>
      <c r="UI9" s="395"/>
      <c r="UJ9" s="395"/>
      <c r="UK9" s="395"/>
      <c r="UL9" s="395"/>
      <c r="UM9" s="395"/>
      <c r="UN9" s="395"/>
      <c r="UO9" s="395"/>
      <c r="UP9" s="395"/>
      <c r="UQ9" s="395"/>
      <c r="UR9" s="395"/>
      <c r="US9" s="395"/>
      <c r="UT9" s="395"/>
      <c r="UU9" s="395"/>
      <c r="UV9" s="395"/>
      <c r="UW9" s="395"/>
      <c r="UX9" s="395"/>
      <c r="UY9" s="395"/>
      <c r="UZ9" s="395"/>
      <c r="VA9" s="395"/>
      <c r="VB9" s="395"/>
      <c r="VC9" s="395"/>
      <c r="VD9" s="395"/>
      <c r="VE9" s="395"/>
      <c r="VF9" s="395"/>
      <c r="VG9" s="395"/>
      <c r="VH9" s="395"/>
      <c r="VI9" s="395"/>
      <c r="VJ9" s="395"/>
      <c r="VK9" s="395"/>
      <c r="VL9" s="395"/>
      <c r="VM9" s="395"/>
      <c r="VN9" s="395"/>
      <c r="VO9" s="395"/>
      <c r="VP9" s="395"/>
      <c r="VQ9" s="395"/>
      <c r="VR9" s="395"/>
      <c r="VS9" s="395"/>
      <c r="VT9" s="395"/>
      <c r="VU9" s="395"/>
      <c r="VV9" s="395"/>
      <c r="VW9" s="395"/>
      <c r="VX9" s="395"/>
      <c r="VY9" s="395"/>
      <c r="VZ9" s="395"/>
      <c r="WA9" s="395"/>
      <c r="WB9" s="395"/>
      <c r="WC9" s="395"/>
      <c r="WD9" s="395"/>
      <c r="WE9" s="395"/>
      <c r="WF9" s="395"/>
      <c r="WG9" s="395"/>
      <c r="WH9" s="395"/>
      <c r="WI9" s="395"/>
      <c r="WJ9" s="395"/>
      <c r="WK9" s="395"/>
      <c r="WL9" s="395"/>
      <c r="WM9" s="395"/>
      <c r="WN9" s="395"/>
      <c r="WO9" s="395"/>
      <c r="WP9" s="395"/>
      <c r="WQ9" s="395"/>
      <c r="WR9" s="395"/>
      <c r="WS9" s="395"/>
      <c r="WT9" s="395"/>
      <c r="WU9" s="395"/>
      <c r="WV9" s="395"/>
      <c r="WW9" s="395"/>
      <c r="WX9" s="395"/>
      <c r="WY9" s="395"/>
      <c r="WZ9" s="395"/>
      <c r="XA9" s="395"/>
      <c r="XB9" s="395"/>
      <c r="XC9" s="395"/>
      <c r="XD9" s="395"/>
      <c r="XE9" s="395"/>
      <c r="XF9" s="395"/>
      <c r="XG9" s="395"/>
      <c r="XH9" s="395"/>
      <c r="XI9" s="395"/>
      <c r="XJ9" s="395"/>
      <c r="XK9" s="395"/>
      <c r="XL9" s="395"/>
      <c r="XM9" s="395"/>
      <c r="XN9" s="395"/>
      <c r="XO9" s="395"/>
      <c r="XP9" s="395"/>
      <c r="XQ9" s="395"/>
      <c r="XR9" s="395"/>
      <c r="XS9" s="395"/>
      <c r="XT9" s="395"/>
      <c r="XU9" s="395"/>
      <c r="XV9" s="395"/>
      <c r="XW9" s="395"/>
      <c r="XX9" s="395"/>
      <c r="XY9" s="395"/>
      <c r="XZ9" s="395"/>
      <c r="YA9" s="395"/>
      <c r="YB9" s="395"/>
      <c r="YC9" s="395"/>
      <c r="YD9" s="395"/>
      <c r="YE9" s="395"/>
      <c r="YF9" s="395"/>
      <c r="YG9" s="395"/>
      <c r="YH9" s="395"/>
      <c r="YI9" s="395"/>
      <c r="YJ9" s="395"/>
      <c r="YK9" s="395"/>
      <c r="YL9" s="395"/>
      <c r="YM9" s="395"/>
      <c r="YN9" s="395"/>
      <c r="YO9" s="395"/>
      <c r="YP9" s="395"/>
      <c r="YQ9" s="395"/>
      <c r="YR9" s="395"/>
      <c r="YS9" s="395"/>
      <c r="YT9" s="395"/>
      <c r="YU9" s="395"/>
      <c r="YV9" s="395"/>
      <c r="YW9" s="395"/>
      <c r="YX9" s="395"/>
      <c r="YY9" s="395"/>
      <c r="YZ9" s="395"/>
      <c r="ZA9" s="395"/>
      <c r="ZB9" s="395"/>
      <c r="ZC9" s="395"/>
      <c r="ZD9" s="395"/>
      <c r="ZE9" s="395"/>
      <c r="ZF9" s="395"/>
      <c r="ZG9" s="395"/>
      <c r="ZH9" s="395"/>
      <c r="ZI9" s="395"/>
      <c r="ZJ9" s="395"/>
      <c r="ZK9" s="395"/>
      <c r="ZL9" s="395"/>
      <c r="ZM9" s="395"/>
      <c r="ZN9" s="395"/>
      <c r="ZO9" s="395"/>
      <c r="ZP9" s="395"/>
      <c r="ZQ9" s="395"/>
      <c r="ZR9" s="395"/>
      <c r="ZS9" s="395"/>
      <c r="ZT9" s="395"/>
      <c r="ZU9" s="395"/>
      <c r="ZV9" s="395"/>
      <c r="ZW9" s="395"/>
      <c r="ZX9" s="395"/>
      <c r="ZY9" s="395"/>
      <c r="ZZ9" s="395"/>
      <c r="AAA9" s="395"/>
      <c r="AAB9" s="395"/>
      <c r="AAC9" s="395"/>
      <c r="AAD9" s="395"/>
      <c r="AAE9" s="395"/>
      <c r="AAF9" s="395"/>
      <c r="AAG9" s="395"/>
      <c r="AAH9" s="395"/>
      <c r="AAI9" s="395"/>
      <c r="AAJ9" s="395"/>
      <c r="AAK9" s="395"/>
      <c r="AAL9" s="395"/>
      <c r="AAM9" s="395"/>
      <c r="AAN9" s="395"/>
      <c r="AAO9" s="395"/>
      <c r="AAP9" s="395"/>
      <c r="AAQ9" s="395"/>
      <c r="AAR9" s="395"/>
      <c r="AAS9" s="395"/>
      <c r="AAT9" s="395"/>
      <c r="AAU9" s="395"/>
      <c r="AAV9" s="395"/>
      <c r="AAW9" s="395"/>
      <c r="AAX9" s="395"/>
      <c r="AAY9" s="395"/>
      <c r="AAZ9" s="395"/>
      <c r="ABA9" s="395"/>
      <c r="ABB9" s="395"/>
      <c r="ABC9" s="395"/>
      <c r="ABD9" s="395"/>
      <c r="ABE9" s="395"/>
      <c r="ABF9" s="395"/>
      <c r="ABG9" s="395"/>
      <c r="ABH9" s="395"/>
      <c r="ABI9" s="395"/>
      <c r="ABJ9" s="395"/>
      <c r="ABK9" s="395"/>
      <c r="ABL9" s="395"/>
      <c r="ABM9" s="395"/>
      <c r="ABN9" s="395"/>
      <c r="ABO9" s="395"/>
      <c r="ABP9" s="395"/>
      <c r="ABQ9" s="395"/>
      <c r="ABR9" s="395"/>
      <c r="ABS9" s="395"/>
      <c r="ABT9" s="395"/>
      <c r="ABU9" s="395"/>
      <c r="ABV9" s="395"/>
      <c r="ABW9" s="395"/>
      <c r="ABX9" s="395"/>
      <c r="ABY9" s="395"/>
      <c r="ABZ9" s="395"/>
      <c r="ACA9" s="395"/>
      <c r="ACB9" s="395"/>
      <c r="ACC9" s="395"/>
      <c r="ACD9" s="395"/>
      <c r="ACE9" s="395"/>
      <c r="ACF9" s="395"/>
      <c r="ACG9" s="395"/>
    </row>
    <row r="10" spans="1:761" s="289" customFormat="1" ht="15" customHeight="1" x14ac:dyDescent="0.2">
      <c r="A10" s="542" t="s">
        <v>30</v>
      </c>
      <c r="B10" s="549">
        <v>4050</v>
      </c>
      <c r="C10" s="549">
        <v>8837</v>
      </c>
      <c r="D10" s="549">
        <v>0</v>
      </c>
      <c r="E10" s="549">
        <v>0</v>
      </c>
      <c r="F10" s="549">
        <v>0</v>
      </c>
      <c r="G10" s="549">
        <v>0</v>
      </c>
      <c r="H10" s="550">
        <v>2573</v>
      </c>
      <c r="I10" s="550">
        <f>H10*4</f>
        <v>10292</v>
      </c>
      <c r="J10" s="549">
        <v>0</v>
      </c>
      <c r="K10" s="549">
        <v>0</v>
      </c>
      <c r="L10" s="551" t="s">
        <v>31</v>
      </c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  <c r="IX10" s="395"/>
      <c r="IY10" s="395"/>
      <c r="IZ10" s="395"/>
      <c r="JA10" s="395"/>
      <c r="JB10" s="395"/>
      <c r="JC10" s="395"/>
      <c r="JD10" s="395"/>
      <c r="JE10" s="395"/>
      <c r="JF10" s="395"/>
      <c r="JG10" s="395"/>
      <c r="JH10" s="395"/>
      <c r="JI10" s="395"/>
      <c r="JJ10" s="395"/>
      <c r="JK10" s="395"/>
      <c r="JL10" s="395"/>
      <c r="JM10" s="395"/>
      <c r="JN10" s="395"/>
      <c r="JO10" s="395"/>
      <c r="JP10" s="395"/>
      <c r="JQ10" s="395"/>
      <c r="JR10" s="395"/>
      <c r="JS10" s="395"/>
      <c r="JT10" s="395"/>
      <c r="JU10" s="395"/>
      <c r="JV10" s="395"/>
      <c r="JW10" s="395"/>
      <c r="JX10" s="395"/>
      <c r="JY10" s="395"/>
      <c r="JZ10" s="395"/>
      <c r="KA10" s="395"/>
      <c r="KB10" s="395"/>
      <c r="KC10" s="395"/>
      <c r="KD10" s="395"/>
      <c r="KE10" s="395"/>
      <c r="KF10" s="395"/>
      <c r="KG10" s="395"/>
      <c r="KH10" s="395"/>
      <c r="KI10" s="395"/>
      <c r="KJ10" s="395"/>
      <c r="KK10" s="395"/>
      <c r="KL10" s="395"/>
      <c r="KM10" s="395"/>
      <c r="KN10" s="395"/>
      <c r="KO10" s="395"/>
      <c r="KP10" s="395"/>
      <c r="KQ10" s="395"/>
      <c r="KR10" s="395"/>
      <c r="KS10" s="395"/>
      <c r="KT10" s="395"/>
      <c r="KU10" s="395"/>
      <c r="KV10" s="395"/>
      <c r="KW10" s="395"/>
      <c r="KX10" s="395"/>
      <c r="KY10" s="395"/>
      <c r="KZ10" s="395"/>
      <c r="LA10" s="395"/>
      <c r="LB10" s="395"/>
      <c r="LC10" s="395"/>
      <c r="LD10" s="395"/>
      <c r="LE10" s="395"/>
      <c r="LF10" s="395"/>
      <c r="LG10" s="395"/>
      <c r="LH10" s="395"/>
      <c r="LI10" s="395"/>
      <c r="LJ10" s="395"/>
      <c r="LK10" s="395"/>
      <c r="LL10" s="395"/>
      <c r="LM10" s="395"/>
      <c r="LN10" s="395"/>
      <c r="LO10" s="395"/>
      <c r="LP10" s="395"/>
      <c r="LQ10" s="395"/>
      <c r="LR10" s="395"/>
      <c r="LS10" s="395"/>
      <c r="LT10" s="395"/>
      <c r="LU10" s="395"/>
      <c r="LV10" s="395"/>
      <c r="LW10" s="395"/>
      <c r="LX10" s="395"/>
      <c r="LY10" s="395"/>
      <c r="LZ10" s="395"/>
      <c r="MA10" s="395"/>
      <c r="MB10" s="395"/>
      <c r="MC10" s="395"/>
      <c r="MD10" s="395"/>
      <c r="ME10" s="395"/>
      <c r="MF10" s="395"/>
      <c r="MG10" s="395"/>
      <c r="MH10" s="395"/>
      <c r="MI10" s="395"/>
      <c r="MJ10" s="395"/>
      <c r="MK10" s="395"/>
      <c r="ML10" s="395"/>
      <c r="MM10" s="395"/>
      <c r="MN10" s="395"/>
      <c r="MO10" s="395"/>
      <c r="MP10" s="395"/>
      <c r="MQ10" s="395"/>
      <c r="MR10" s="395"/>
      <c r="MS10" s="395"/>
      <c r="MT10" s="395"/>
      <c r="MU10" s="395"/>
      <c r="MV10" s="395"/>
      <c r="MW10" s="395"/>
      <c r="MX10" s="395"/>
      <c r="MY10" s="395"/>
      <c r="MZ10" s="395"/>
      <c r="NA10" s="395"/>
      <c r="NB10" s="395"/>
      <c r="NC10" s="395"/>
      <c r="ND10" s="395"/>
      <c r="NE10" s="395"/>
      <c r="NF10" s="395"/>
      <c r="NG10" s="395"/>
      <c r="NH10" s="395"/>
      <c r="NI10" s="395"/>
      <c r="NJ10" s="395"/>
      <c r="NK10" s="395"/>
      <c r="NL10" s="395"/>
      <c r="NM10" s="395"/>
      <c r="NN10" s="395"/>
      <c r="NO10" s="395"/>
      <c r="NP10" s="395"/>
      <c r="NQ10" s="395"/>
      <c r="NR10" s="395"/>
      <c r="NS10" s="395"/>
      <c r="NT10" s="395"/>
      <c r="NU10" s="395"/>
      <c r="NV10" s="395"/>
      <c r="NW10" s="395"/>
      <c r="NX10" s="395"/>
      <c r="NY10" s="395"/>
      <c r="NZ10" s="395"/>
      <c r="OA10" s="395"/>
      <c r="OB10" s="395"/>
      <c r="OC10" s="395"/>
      <c r="OD10" s="395"/>
      <c r="OE10" s="395"/>
      <c r="OF10" s="395"/>
      <c r="OG10" s="395"/>
      <c r="OH10" s="395"/>
      <c r="OI10" s="395"/>
      <c r="OJ10" s="395"/>
      <c r="OK10" s="395"/>
      <c r="OL10" s="395"/>
      <c r="OM10" s="395"/>
      <c r="ON10" s="395"/>
      <c r="OO10" s="395"/>
      <c r="OP10" s="395"/>
      <c r="OQ10" s="395"/>
      <c r="OR10" s="395"/>
      <c r="OS10" s="395"/>
      <c r="OT10" s="395"/>
      <c r="OU10" s="395"/>
      <c r="OV10" s="395"/>
      <c r="OW10" s="395"/>
      <c r="OX10" s="395"/>
      <c r="OY10" s="395"/>
      <c r="OZ10" s="395"/>
      <c r="PA10" s="395"/>
      <c r="PB10" s="395"/>
      <c r="PC10" s="395"/>
      <c r="PD10" s="395"/>
      <c r="PE10" s="395"/>
      <c r="PF10" s="395"/>
      <c r="PG10" s="395"/>
      <c r="PH10" s="395"/>
      <c r="PI10" s="395"/>
      <c r="PJ10" s="395"/>
      <c r="PK10" s="395"/>
      <c r="PL10" s="395"/>
      <c r="PM10" s="395"/>
      <c r="PN10" s="395"/>
      <c r="PO10" s="395"/>
      <c r="PP10" s="395"/>
      <c r="PQ10" s="395"/>
      <c r="PR10" s="395"/>
      <c r="PS10" s="395"/>
      <c r="PT10" s="395"/>
      <c r="PU10" s="395"/>
      <c r="PV10" s="395"/>
      <c r="PW10" s="395"/>
      <c r="PX10" s="395"/>
      <c r="PY10" s="395"/>
      <c r="PZ10" s="395"/>
      <c r="QA10" s="395"/>
      <c r="QB10" s="395"/>
      <c r="QC10" s="395"/>
      <c r="QD10" s="395"/>
      <c r="QE10" s="395"/>
      <c r="QF10" s="395"/>
      <c r="QG10" s="395"/>
      <c r="QH10" s="395"/>
      <c r="QI10" s="395"/>
      <c r="QJ10" s="395"/>
      <c r="QK10" s="395"/>
      <c r="QL10" s="395"/>
      <c r="QM10" s="395"/>
      <c r="QN10" s="395"/>
      <c r="QO10" s="395"/>
      <c r="QP10" s="395"/>
      <c r="QQ10" s="395"/>
      <c r="QR10" s="395"/>
      <c r="QS10" s="395"/>
      <c r="QT10" s="395"/>
      <c r="QU10" s="395"/>
      <c r="QV10" s="395"/>
      <c r="QW10" s="395"/>
      <c r="QX10" s="395"/>
      <c r="QY10" s="395"/>
      <c r="QZ10" s="395"/>
      <c r="RA10" s="395"/>
      <c r="RB10" s="395"/>
      <c r="RC10" s="395"/>
      <c r="RD10" s="395"/>
      <c r="RE10" s="395"/>
      <c r="RF10" s="395"/>
      <c r="RG10" s="395"/>
      <c r="RH10" s="395"/>
      <c r="RI10" s="395"/>
      <c r="RJ10" s="395"/>
      <c r="RK10" s="395"/>
      <c r="RL10" s="395"/>
      <c r="RM10" s="395"/>
      <c r="RN10" s="395"/>
      <c r="RO10" s="395"/>
      <c r="RP10" s="395"/>
      <c r="RQ10" s="395"/>
      <c r="RR10" s="395"/>
      <c r="RS10" s="395"/>
      <c r="RT10" s="395"/>
      <c r="RU10" s="395"/>
      <c r="RV10" s="395"/>
      <c r="RW10" s="395"/>
      <c r="RX10" s="395"/>
      <c r="RY10" s="395"/>
      <c r="RZ10" s="395"/>
      <c r="SA10" s="395"/>
      <c r="SB10" s="395"/>
      <c r="SC10" s="395"/>
      <c r="SD10" s="395"/>
      <c r="SE10" s="395"/>
      <c r="SF10" s="395"/>
      <c r="SG10" s="395"/>
      <c r="SH10" s="395"/>
      <c r="SI10" s="395"/>
      <c r="SJ10" s="395"/>
      <c r="SK10" s="395"/>
      <c r="SL10" s="395"/>
      <c r="SM10" s="395"/>
      <c r="SN10" s="395"/>
      <c r="SO10" s="395"/>
      <c r="SP10" s="395"/>
      <c r="SQ10" s="395"/>
      <c r="SR10" s="395"/>
      <c r="SS10" s="395"/>
      <c r="ST10" s="395"/>
      <c r="SU10" s="395"/>
      <c r="SV10" s="395"/>
      <c r="SW10" s="395"/>
      <c r="SX10" s="395"/>
      <c r="SY10" s="395"/>
      <c r="SZ10" s="395"/>
      <c r="TA10" s="395"/>
      <c r="TB10" s="395"/>
      <c r="TC10" s="395"/>
      <c r="TD10" s="395"/>
      <c r="TE10" s="395"/>
      <c r="TF10" s="395"/>
      <c r="TG10" s="395"/>
      <c r="TH10" s="395"/>
      <c r="TI10" s="395"/>
      <c r="TJ10" s="395"/>
      <c r="TK10" s="395"/>
      <c r="TL10" s="395"/>
      <c r="TM10" s="395"/>
      <c r="TN10" s="395"/>
      <c r="TO10" s="395"/>
      <c r="TP10" s="395"/>
      <c r="TQ10" s="395"/>
      <c r="TR10" s="395"/>
      <c r="TS10" s="395"/>
      <c r="TT10" s="395"/>
      <c r="TU10" s="395"/>
      <c r="TV10" s="395"/>
      <c r="TW10" s="395"/>
      <c r="TX10" s="395"/>
      <c r="TY10" s="395"/>
      <c r="TZ10" s="395"/>
      <c r="UA10" s="395"/>
      <c r="UB10" s="395"/>
      <c r="UC10" s="395"/>
      <c r="UD10" s="395"/>
      <c r="UE10" s="395"/>
      <c r="UF10" s="395"/>
      <c r="UG10" s="395"/>
      <c r="UH10" s="395"/>
      <c r="UI10" s="395"/>
      <c r="UJ10" s="395"/>
      <c r="UK10" s="395"/>
      <c r="UL10" s="395"/>
      <c r="UM10" s="395"/>
      <c r="UN10" s="395"/>
      <c r="UO10" s="395"/>
      <c r="UP10" s="395"/>
      <c r="UQ10" s="395"/>
      <c r="UR10" s="395"/>
      <c r="US10" s="395"/>
      <c r="UT10" s="395"/>
      <c r="UU10" s="395"/>
      <c r="UV10" s="395"/>
      <c r="UW10" s="395"/>
      <c r="UX10" s="395"/>
      <c r="UY10" s="395"/>
      <c r="UZ10" s="395"/>
      <c r="VA10" s="395"/>
      <c r="VB10" s="395"/>
      <c r="VC10" s="395"/>
      <c r="VD10" s="395"/>
      <c r="VE10" s="395"/>
      <c r="VF10" s="395"/>
      <c r="VG10" s="395"/>
      <c r="VH10" s="395"/>
      <c r="VI10" s="395"/>
      <c r="VJ10" s="395"/>
      <c r="VK10" s="395"/>
      <c r="VL10" s="395"/>
      <c r="VM10" s="395"/>
      <c r="VN10" s="395"/>
      <c r="VO10" s="395"/>
      <c r="VP10" s="395"/>
      <c r="VQ10" s="395"/>
      <c r="VR10" s="395"/>
      <c r="VS10" s="395"/>
      <c r="VT10" s="395"/>
      <c r="VU10" s="395"/>
      <c r="VV10" s="395"/>
      <c r="VW10" s="395"/>
      <c r="VX10" s="395"/>
      <c r="VY10" s="395"/>
      <c r="VZ10" s="395"/>
      <c r="WA10" s="395"/>
      <c r="WB10" s="395"/>
      <c r="WC10" s="395"/>
      <c r="WD10" s="395"/>
      <c r="WE10" s="395"/>
      <c r="WF10" s="395"/>
      <c r="WG10" s="395"/>
      <c r="WH10" s="395"/>
      <c r="WI10" s="395"/>
      <c r="WJ10" s="395"/>
      <c r="WK10" s="395"/>
      <c r="WL10" s="395"/>
      <c r="WM10" s="395"/>
      <c r="WN10" s="395"/>
      <c r="WO10" s="395"/>
      <c r="WP10" s="395"/>
      <c r="WQ10" s="395"/>
      <c r="WR10" s="395"/>
      <c r="WS10" s="395"/>
      <c r="WT10" s="395"/>
      <c r="WU10" s="395"/>
      <c r="WV10" s="395"/>
      <c r="WW10" s="395"/>
      <c r="WX10" s="395"/>
      <c r="WY10" s="395"/>
      <c r="WZ10" s="395"/>
      <c r="XA10" s="395"/>
      <c r="XB10" s="395"/>
      <c r="XC10" s="395"/>
      <c r="XD10" s="395"/>
      <c r="XE10" s="395"/>
      <c r="XF10" s="395"/>
      <c r="XG10" s="395"/>
      <c r="XH10" s="395"/>
      <c r="XI10" s="395"/>
      <c r="XJ10" s="395"/>
      <c r="XK10" s="395"/>
      <c r="XL10" s="395"/>
      <c r="XM10" s="395"/>
      <c r="XN10" s="395"/>
      <c r="XO10" s="395"/>
      <c r="XP10" s="395"/>
      <c r="XQ10" s="395"/>
      <c r="XR10" s="395"/>
      <c r="XS10" s="395"/>
      <c r="XT10" s="395"/>
      <c r="XU10" s="395"/>
      <c r="XV10" s="395"/>
      <c r="XW10" s="395"/>
      <c r="XX10" s="395"/>
      <c r="XY10" s="395"/>
      <c r="XZ10" s="395"/>
      <c r="YA10" s="395"/>
      <c r="YB10" s="395"/>
      <c r="YC10" s="395"/>
      <c r="YD10" s="395"/>
      <c r="YE10" s="395"/>
      <c r="YF10" s="395"/>
      <c r="YG10" s="395"/>
      <c r="YH10" s="395"/>
      <c r="YI10" s="395"/>
      <c r="YJ10" s="395"/>
      <c r="YK10" s="395"/>
      <c r="YL10" s="395"/>
      <c r="YM10" s="395"/>
      <c r="YN10" s="395"/>
      <c r="YO10" s="395"/>
      <c r="YP10" s="395"/>
      <c r="YQ10" s="395"/>
      <c r="YR10" s="395"/>
      <c r="YS10" s="395"/>
      <c r="YT10" s="395"/>
      <c r="YU10" s="395"/>
      <c r="YV10" s="395"/>
      <c r="YW10" s="395"/>
      <c r="YX10" s="395"/>
      <c r="YY10" s="395"/>
      <c r="YZ10" s="395"/>
      <c r="ZA10" s="395"/>
      <c r="ZB10" s="395"/>
      <c r="ZC10" s="395"/>
      <c r="ZD10" s="395"/>
      <c r="ZE10" s="395"/>
      <c r="ZF10" s="395"/>
      <c r="ZG10" s="395"/>
      <c r="ZH10" s="395"/>
      <c r="ZI10" s="395"/>
      <c r="ZJ10" s="395"/>
      <c r="ZK10" s="395"/>
      <c r="ZL10" s="395"/>
      <c r="ZM10" s="395"/>
      <c r="ZN10" s="395"/>
      <c r="ZO10" s="395"/>
      <c r="ZP10" s="395"/>
      <c r="ZQ10" s="395"/>
      <c r="ZR10" s="395"/>
      <c r="ZS10" s="395"/>
      <c r="ZT10" s="395"/>
      <c r="ZU10" s="395"/>
      <c r="ZV10" s="395"/>
      <c r="ZW10" s="395"/>
      <c r="ZX10" s="395"/>
      <c r="ZY10" s="395"/>
      <c r="ZZ10" s="395"/>
      <c r="AAA10" s="395"/>
      <c r="AAB10" s="395"/>
      <c r="AAC10" s="395"/>
      <c r="AAD10" s="395"/>
      <c r="AAE10" s="395"/>
      <c r="AAF10" s="395"/>
      <c r="AAG10" s="395"/>
      <c r="AAH10" s="395"/>
      <c r="AAI10" s="395"/>
      <c r="AAJ10" s="395"/>
      <c r="AAK10" s="395"/>
      <c r="AAL10" s="395"/>
      <c r="AAM10" s="395"/>
      <c r="AAN10" s="395"/>
      <c r="AAO10" s="395"/>
      <c r="AAP10" s="395"/>
      <c r="AAQ10" s="395"/>
      <c r="AAR10" s="395"/>
      <c r="AAS10" s="395"/>
      <c r="AAT10" s="395"/>
      <c r="AAU10" s="395"/>
      <c r="AAV10" s="395"/>
      <c r="AAW10" s="395"/>
      <c r="AAX10" s="395"/>
      <c r="AAY10" s="395"/>
      <c r="AAZ10" s="395"/>
      <c r="ABA10" s="395"/>
      <c r="ABB10" s="395"/>
      <c r="ABC10" s="395"/>
      <c r="ABD10" s="395"/>
      <c r="ABE10" s="395"/>
      <c r="ABF10" s="395"/>
      <c r="ABG10" s="395"/>
      <c r="ABH10" s="395"/>
      <c r="ABI10" s="395"/>
      <c r="ABJ10" s="395"/>
      <c r="ABK10" s="395"/>
      <c r="ABL10" s="395"/>
      <c r="ABM10" s="395"/>
      <c r="ABN10" s="395"/>
      <c r="ABO10" s="395"/>
      <c r="ABP10" s="395"/>
      <c r="ABQ10" s="395"/>
      <c r="ABR10" s="395"/>
      <c r="ABS10" s="395"/>
      <c r="ABT10" s="395"/>
      <c r="ABU10" s="395"/>
      <c r="ABV10" s="395"/>
      <c r="ABW10" s="395"/>
      <c r="ABX10" s="395"/>
      <c r="ABY10" s="395"/>
      <c r="ABZ10" s="395"/>
      <c r="ACA10" s="395"/>
      <c r="ACB10" s="395"/>
      <c r="ACC10" s="395"/>
      <c r="ACD10" s="395"/>
      <c r="ACE10" s="395"/>
      <c r="ACF10" s="395"/>
      <c r="ACG10" s="395"/>
    </row>
    <row r="11" spans="1:761" s="289" customFormat="1" ht="15" customHeight="1" x14ac:dyDescent="0.2">
      <c r="A11" s="460" t="s">
        <v>3</v>
      </c>
      <c r="B11" s="466">
        <v>108092</v>
      </c>
      <c r="C11" s="466">
        <v>229100</v>
      </c>
      <c r="D11" s="466">
        <v>601</v>
      </c>
      <c r="E11" s="466">
        <f>D11*15</f>
        <v>9015</v>
      </c>
      <c r="F11" s="466">
        <v>5441</v>
      </c>
      <c r="G11" s="466">
        <f>F11*3</f>
        <v>16323</v>
      </c>
      <c r="H11" s="467">
        <v>5474</v>
      </c>
      <c r="I11" s="467">
        <f>H11*3</f>
        <v>16422</v>
      </c>
      <c r="J11" s="466">
        <v>0</v>
      </c>
      <c r="K11" s="466">
        <v>0</v>
      </c>
      <c r="L11" s="468" t="s">
        <v>15</v>
      </c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  <c r="IX11" s="395"/>
      <c r="IY11" s="395"/>
      <c r="IZ11" s="395"/>
      <c r="JA11" s="395"/>
      <c r="JB11" s="395"/>
      <c r="JC11" s="395"/>
      <c r="JD11" s="395"/>
      <c r="JE11" s="395"/>
      <c r="JF11" s="395"/>
      <c r="JG11" s="395"/>
      <c r="JH11" s="395"/>
      <c r="JI11" s="395"/>
      <c r="JJ11" s="395"/>
      <c r="JK11" s="395"/>
      <c r="JL11" s="395"/>
      <c r="JM11" s="395"/>
      <c r="JN11" s="395"/>
      <c r="JO11" s="395"/>
      <c r="JP11" s="395"/>
      <c r="JQ11" s="395"/>
      <c r="JR11" s="395"/>
      <c r="JS11" s="395"/>
      <c r="JT11" s="395"/>
      <c r="JU11" s="395"/>
      <c r="JV11" s="395"/>
      <c r="JW11" s="395"/>
      <c r="JX11" s="395"/>
      <c r="JY11" s="395"/>
      <c r="JZ11" s="395"/>
      <c r="KA11" s="395"/>
      <c r="KB11" s="395"/>
      <c r="KC11" s="395"/>
      <c r="KD11" s="395"/>
      <c r="KE11" s="395"/>
      <c r="KF11" s="395"/>
      <c r="KG11" s="395"/>
      <c r="KH11" s="395"/>
      <c r="KI11" s="395"/>
      <c r="KJ11" s="395"/>
      <c r="KK11" s="395"/>
      <c r="KL11" s="395"/>
      <c r="KM11" s="395"/>
      <c r="KN11" s="395"/>
      <c r="KO11" s="395"/>
      <c r="KP11" s="395"/>
      <c r="KQ11" s="395"/>
      <c r="KR11" s="395"/>
      <c r="KS11" s="395"/>
      <c r="KT11" s="395"/>
      <c r="KU11" s="395"/>
      <c r="KV11" s="395"/>
      <c r="KW11" s="395"/>
      <c r="KX11" s="395"/>
      <c r="KY11" s="395"/>
      <c r="KZ11" s="395"/>
      <c r="LA11" s="395"/>
      <c r="LB11" s="395"/>
      <c r="LC11" s="395"/>
      <c r="LD11" s="395"/>
      <c r="LE11" s="395"/>
      <c r="LF11" s="395"/>
      <c r="LG11" s="395"/>
      <c r="LH11" s="395"/>
      <c r="LI11" s="395"/>
      <c r="LJ11" s="395"/>
      <c r="LK11" s="395"/>
      <c r="LL11" s="395"/>
      <c r="LM11" s="395"/>
      <c r="LN11" s="395"/>
      <c r="LO11" s="395"/>
      <c r="LP11" s="395"/>
      <c r="LQ11" s="395"/>
      <c r="LR11" s="395"/>
      <c r="LS11" s="395"/>
      <c r="LT11" s="395"/>
      <c r="LU11" s="395"/>
      <c r="LV11" s="395"/>
      <c r="LW11" s="395"/>
      <c r="LX11" s="395"/>
      <c r="LY11" s="395"/>
      <c r="LZ11" s="395"/>
      <c r="MA11" s="395"/>
      <c r="MB11" s="395"/>
      <c r="MC11" s="395"/>
      <c r="MD11" s="395"/>
      <c r="ME11" s="395"/>
      <c r="MF11" s="395"/>
      <c r="MG11" s="395"/>
      <c r="MH11" s="395"/>
      <c r="MI11" s="395"/>
      <c r="MJ11" s="395"/>
      <c r="MK11" s="395"/>
      <c r="ML11" s="395"/>
      <c r="MM11" s="395"/>
      <c r="MN11" s="395"/>
      <c r="MO11" s="395"/>
      <c r="MP11" s="395"/>
      <c r="MQ11" s="395"/>
      <c r="MR11" s="395"/>
      <c r="MS11" s="395"/>
      <c r="MT11" s="395"/>
      <c r="MU11" s="395"/>
      <c r="MV11" s="395"/>
      <c r="MW11" s="395"/>
      <c r="MX11" s="395"/>
      <c r="MY11" s="395"/>
      <c r="MZ11" s="395"/>
      <c r="NA11" s="395"/>
      <c r="NB11" s="395"/>
      <c r="NC11" s="395"/>
      <c r="ND11" s="395"/>
      <c r="NE11" s="395"/>
      <c r="NF11" s="395"/>
      <c r="NG11" s="395"/>
      <c r="NH11" s="395"/>
      <c r="NI11" s="395"/>
      <c r="NJ11" s="395"/>
      <c r="NK11" s="395"/>
      <c r="NL11" s="395"/>
      <c r="NM11" s="395"/>
      <c r="NN11" s="395"/>
      <c r="NO11" s="395"/>
      <c r="NP11" s="395"/>
      <c r="NQ11" s="395"/>
      <c r="NR11" s="395"/>
      <c r="NS11" s="395"/>
      <c r="NT11" s="395"/>
      <c r="NU11" s="395"/>
      <c r="NV11" s="395"/>
      <c r="NW11" s="395"/>
      <c r="NX11" s="395"/>
      <c r="NY11" s="395"/>
      <c r="NZ11" s="395"/>
      <c r="OA11" s="395"/>
      <c r="OB11" s="395"/>
      <c r="OC11" s="395"/>
      <c r="OD11" s="395"/>
      <c r="OE11" s="395"/>
      <c r="OF11" s="395"/>
      <c r="OG11" s="395"/>
      <c r="OH11" s="395"/>
      <c r="OI11" s="395"/>
      <c r="OJ11" s="395"/>
      <c r="OK11" s="395"/>
      <c r="OL11" s="395"/>
      <c r="OM11" s="395"/>
      <c r="ON11" s="395"/>
      <c r="OO11" s="395"/>
      <c r="OP11" s="395"/>
      <c r="OQ11" s="395"/>
      <c r="OR11" s="395"/>
      <c r="OS11" s="395"/>
      <c r="OT11" s="395"/>
      <c r="OU11" s="395"/>
      <c r="OV11" s="395"/>
      <c r="OW11" s="395"/>
      <c r="OX11" s="395"/>
      <c r="OY11" s="395"/>
      <c r="OZ11" s="395"/>
      <c r="PA11" s="395"/>
      <c r="PB11" s="395"/>
      <c r="PC11" s="395"/>
      <c r="PD11" s="395"/>
      <c r="PE11" s="395"/>
      <c r="PF11" s="395"/>
      <c r="PG11" s="395"/>
      <c r="PH11" s="395"/>
      <c r="PI11" s="395"/>
      <c r="PJ11" s="395"/>
      <c r="PK11" s="395"/>
      <c r="PL11" s="395"/>
      <c r="PM11" s="395"/>
      <c r="PN11" s="395"/>
      <c r="PO11" s="395"/>
      <c r="PP11" s="395"/>
      <c r="PQ11" s="395"/>
      <c r="PR11" s="395"/>
      <c r="PS11" s="395"/>
      <c r="PT11" s="395"/>
      <c r="PU11" s="395"/>
      <c r="PV11" s="395"/>
      <c r="PW11" s="395"/>
      <c r="PX11" s="395"/>
      <c r="PY11" s="395"/>
      <c r="PZ11" s="395"/>
      <c r="QA11" s="395"/>
      <c r="QB11" s="395"/>
      <c r="QC11" s="395"/>
      <c r="QD11" s="395"/>
      <c r="QE11" s="395"/>
      <c r="QF11" s="395"/>
      <c r="QG11" s="395"/>
      <c r="QH11" s="395"/>
      <c r="QI11" s="395"/>
      <c r="QJ11" s="395"/>
      <c r="QK11" s="395"/>
      <c r="QL11" s="395"/>
      <c r="QM11" s="395"/>
      <c r="QN11" s="395"/>
      <c r="QO11" s="395"/>
      <c r="QP11" s="395"/>
      <c r="QQ11" s="395"/>
      <c r="QR11" s="395"/>
      <c r="QS11" s="395"/>
      <c r="QT11" s="395"/>
      <c r="QU11" s="395"/>
      <c r="QV11" s="395"/>
      <c r="QW11" s="395"/>
      <c r="QX11" s="395"/>
      <c r="QY11" s="395"/>
      <c r="QZ11" s="395"/>
      <c r="RA11" s="395"/>
      <c r="RB11" s="395"/>
      <c r="RC11" s="395"/>
      <c r="RD11" s="395"/>
      <c r="RE11" s="395"/>
      <c r="RF11" s="395"/>
      <c r="RG11" s="395"/>
      <c r="RH11" s="395"/>
      <c r="RI11" s="395"/>
      <c r="RJ11" s="395"/>
      <c r="RK11" s="395"/>
      <c r="RL11" s="395"/>
      <c r="RM11" s="395"/>
      <c r="RN11" s="395"/>
      <c r="RO11" s="395"/>
      <c r="RP11" s="395"/>
      <c r="RQ11" s="395"/>
      <c r="RR11" s="395"/>
      <c r="RS11" s="395"/>
      <c r="RT11" s="395"/>
      <c r="RU11" s="395"/>
      <c r="RV11" s="395"/>
      <c r="RW11" s="395"/>
      <c r="RX11" s="395"/>
      <c r="RY11" s="395"/>
      <c r="RZ11" s="395"/>
      <c r="SA11" s="395"/>
      <c r="SB11" s="395"/>
      <c r="SC11" s="395"/>
      <c r="SD11" s="395"/>
      <c r="SE11" s="395"/>
      <c r="SF11" s="395"/>
      <c r="SG11" s="395"/>
      <c r="SH11" s="395"/>
      <c r="SI11" s="395"/>
      <c r="SJ11" s="395"/>
      <c r="SK11" s="395"/>
      <c r="SL11" s="395"/>
      <c r="SM11" s="395"/>
      <c r="SN11" s="395"/>
      <c r="SO11" s="395"/>
      <c r="SP11" s="395"/>
      <c r="SQ11" s="395"/>
      <c r="SR11" s="395"/>
      <c r="SS11" s="395"/>
      <c r="ST11" s="395"/>
      <c r="SU11" s="395"/>
      <c r="SV11" s="395"/>
      <c r="SW11" s="395"/>
      <c r="SX11" s="395"/>
      <c r="SY11" s="395"/>
      <c r="SZ11" s="395"/>
      <c r="TA11" s="395"/>
      <c r="TB11" s="395"/>
      <c r="TC11" s="395"/>
      <c r="TD11" s="395"/>
      <c r="TE11" s="395"/>
      <c r="TF11" s="395"/>
      <c r="TG11" s="395"/>
      <c r="TH11" s="395"/>
      <c r="TI11" s="395"/>
      <c r="TJ11" s="395"/>
      <c r="TK11" s="395"/>
      <c r="TL11" s="395"/>
      <c r="TM11" s="395"/>
      <c r="TN11" s="395"/>
      <c r="TO11" s="395"/>
      <c r="TP11" s="395"/>
      <c r="TQ11" s="395"/>
      <c r="TR11" s="395"/>
      <c r="TS11" s="395"/>
      <c r="TT11" s="395"/>
      <c r="TU11" s="395"/>
      <c r="TV11" s="395"/>
      <c r="TW11" s="395"/>
      <c r="TX11" s="395"/>
      <c r="TY11" s="395"/>
      <c r="TZ11" s="395"/>
      <c r="UA11" s="395"/>
      <c r="UB11" s="395"/>
      <c r="UC11" s="395"/>
      <c r="UD11" s="395"/>
      <c r="UE11" s="395"/>
      <c r="UF11" s="395"/>
      <c r="UG11" s="395"/>
      <c r="UH11" s="395"/>
      <c r="UI11" s="395"/>
      <c r="UJ11" s="395"/>
      <c r="UK11" s="395"/>
      <c r="UL11" s="395"/>
      <c r="UM11" s="395"/>
      <c r="UN11" s="395"/>
      <c r="UO11" s="395"/>
      <c r="UP11" s="395"/>
      <c r="UQ11" s="395"/>
      <c r="UR11" s="395"/>
      <c r="US11" s="395"/>
      <c r="UT11" s="395"/>
      <c r="UU11" s="395"/>
      <c r="UV11" s="395"/>
      <c r="UW11" s="395"/>
      <c r="UX11" s="395"/>
      <c r="UY11" s="395"/>
      <c r="UZ11" s="395"/>
      <c r="VA11" s="395"/>
      <c r="VB11" s="395"/>
      <c r="VC11" s="395"/>
      <c r="VD11" s="395"/>
      <c r="VE11" s="395"/>
      <c r="VF11" s="395"/>
      <c r="VG11" s="395"/>
      <c r="VH11" s="395"/>
      <c r="VI11" s="395"/>
      <c r="VJ11" s="395"/>
      <c r="VK11" s="395"/>
      <c r="VL11" s="395"/>
      <c r="VM11" s="395"/>
      <c r="VN11" s="395"/>
      <c r="VO11" s="395"/>
      <c r="VP11" s="395"/>
      <c r="VQ11" s="395"/>
      <c r="VR11" s="395"/>
      <c r="VS11" s="395"/>
      <c r="VT11" s="395"/>
      <c r="VU11" s="395"/>
      <c r="VV11" s="395"/>
      <c r="VW11" s="395"/>
      <c r="VX11" s="395"/>
      <c r="VY11" s="395"/>
      <c r="VZ11" s="395"/>
      <c r="WA11" s="395"/>
      <c r="WB11" s="395"/>
      <c r="WC11" s="395"/>
      <c r="WD11" s="395"/>
      <c r="WE11" s="395"/>
      <c r="WF11" s="395"/>
      <c r="WG11" s="395"/>
      <c r="WH11" s="395"/>
      <c r="WI11" s="395"/>
      <c r="WJ11" s="395"/>
      <c r="WK11" s="395"/>
      <c r="WL11" s="395"/>
      <c r="WM11" s="395"/>
      <c r="WN11" s="395"/>
      <c r="WO11" s="395"/>
      <c r="WP11" s="395"/>
      <c r="WQ11" s="395"/>
      <c r="WR11" s="395"/>
      <c r="WS11" s="395"/>
      <c r="WT11" s="395"/>
      <c r="WU11" s="395"/>
      <c r="WV11" s="395"/>
      <c r="WW11" s="395"/>
      <c r="WX11" s="395"/>
      <c r="WY11" s="395"/>
      <c r="WZ11" s="395"/>
      <c r="XA11" s="395"/>
      <c r="XB11" s="395"/>
      <c r="XC11" s="395"/>
      <c r="XD11" s="395"/>
      <c r="XE11" s="395"/>
      <c r="XF11" s="395"/>
      <c r="XG11" s="395"/>
      <c r="XH11" s="395"/>
      <c r="XI11" s="395"/>
      <c r="XJ11" s="395"/>
      <c r="XK11" s="395"/>
      <c r="XL11" s="395"/>
      <c r="XM11" s="395"/>
      <c r="XN11" s="395"/>
      <c r="XO11" s="395"/>
      <c r="XP11" s="395"/>
      <c r="XQ11" s="395"/>
      <c r="XR11" s="395"/>
      <c r="XS11" s="395"/>
      <c r="XT11" s="395"/>
      <c r="XU11" s="395"/>
      <c r="XV11" s="395"/>
      <c r="XW11" s="395"/>
      <c r="XX11" s="395"/>
      <c r="XY11" s="395"/>
      <c r="XZ11" s="395"/>
      <c r="YA11" s="395"/>
      <c r="YB11" s="395"/>
      <c r="YC11" s="395"/>
      <c r="YD11" s="395"/>
      <c r="YE11" s="395"/>
      <c r="YF11" s="395"/>
      <c r="YG11" s="395"/>
      <c r="YH11" s="395"/>
      <c r="YI11" s="395"/>
      <c r="YJ11" s="395"/>
      <c r="YK11" s="395"/>
      <c r="YL11" s="395"/>
      <c r="YM11" s="395"/>
      <c r="YN11" s="395"/>
      <c r="YO11" s="395"/>
      <c r="YP11" s="395"/>
      <c r="YQ11" s="395"/>
      <c r="YR11" s="395"/>
      <c r="YS11" s="395"/>
      <c r="YT11" s="395"/>
      <c r="YU11" s="395"/>
      <c r="YV11" s="395"/>
      <c r="YW11" s="395"/>
      <c r="YX11" s="395"/>
      <c r="YY11" s="395"/>
      <c r="YZ11" s="395"/>
      <c r="ZA11" s="395"/>
      <c r="ZB11" s="395"/>
      <c r="ZC11" s="395"/>
      <c r="ZD11" s="395"/>
      <c r="ZE11" s="395"/>
      <c r="ZF11" s="395"/>
      <c r="ZG11" s="395"/>
      <c r="ZH11" s="395"/>
      <c r="ZI11" s="395"/>
      <c r="ZJ11" s="395"/>
      <c r="ZK11" s="395"/>
      <c r="ZL11" s="395"/>
      <c r="ZM11" s="395"/>
      <c r="ZN11" s="395"/>
      <c r="ZO11" s="395"/>
      <c r="ZP11" s="395"/>
      <c r="ZQ11" s="395"/>
      <c r="ZR11" s="395"/>
      <c r="ZS11" s="395"/>
      <c r="ZT11" s="395"/>
      <c r="ZU11" s="395"/>
      <c r="ZV11" s="395"/>
      <c r="ZW11" s="395"/>
      <c r="ZX11" s="395"/>
      <c r="ZY11" s="395"/>
      <c r="ZZ11" s="395"/>
      <c r="AAA11" s="395"/>
      <c r="AAB11" s="395"/>
      <c r="AAC11" s="395"/>
      <c r="AAD11" s="395"/>
      <c r="AAE11" s="395"/>
      <c r="AAF11" s="395"/>
      <c r="AAG11" s="395"/>
      <c r="AAH11" s="395"/>
      <c r="AAI11" s="395"/>
      <c r="AAJ11" s="395"/>
      <c r="AAK11" s="395"/>
      <c r="AAL11" s="395"/>
      <c r="AAM11" s="395"/>
      <c r="AAN11" s="395"/>
      <c r="AAO11" s="395"/>
      <c r="AAP11" s="395"/>
      <c r="AAQ11" s="395"/>
      <c r="AAR11" s="395"/>
      <c r="AAS11" s="395"/>
      <c r="AAT11" s="395"/>
      <c r="AAU11" s="395"/>
      <c r="AAV11" s="395"/>
      <c r="AAW11" s="395"/>
      <c r="AAX11" s="395"/>
      <c r="AAY11" s="395"/>
      <c r="AAZ11" s="395"/>
      <c r="ABA11" s="395"/>
      <c r="ABB11" s="395"/>
      <c r="ABC11" s="395"/>
      <c r="ABD11" s="395"/>
      <c r="ABE11" s="395"/>
      <c r="ABF11" s="395"/>
      <c r="ABG11" s="395"/>
      <c r="ABH11" s="395"/>
      <c r="ABI11" s="395"/>
      <c r="ABJ11" s="395"/>
      <c r="ABK11" s="395"/>
      <c r="ABL11" s="395"/>
      <c r="ABM11" s="395"/>
      <c r="ABN11" s="395"/>
      <c r="ABO11" s="395"/>
      <c r="ABP11" s="395"/>
      <c r="ABQ11" s="395"/>
      <c r="ABR11" s="395"/>
      <c r="ABS11" s="395"/>
      <c r="ABT11" s="395"/>
      <c r="ABU11" s="395"/>
      <c r="ABV11" s="395"/>
      <c r="ABW11" s="395"/>
      <c r="ABX11" s="395"/>
      <c r="ABY11" s="395"/>
      <c r="ABZ11" s="395"/>
      <c r="ACA11" s="395"/>
      <c r="ACB11" s="395"/>
      <c r="ACC11" s="395"/>
      <c r="ACD11" s="395"/>
      <c r="ACE11" s="395"/>
      <c r="ACF11" s="395"/>
      <c r="ACG11" s="395"/>
    </row>
    <row r="12" spans="1:761" s="289" customFormat="1" ht="15" customHeight="1" x14ac:dyDescent="0.2">
      <c r="A12" s="544" t="s">
        <v>342</v>
      </c>
      <c r="B12" s="549">
        <v>3773</v>
      </c>
      <c r="C12" s="549">
        <v>10565</v>
      </c>
      <c r="D12" s="549">
        <v>41</v>
      </c>
      <c r="E12" s="549">
        <f>D12*16</f>
        <v>656</v>
      </c>
      <c r="F12" s="549">
        <v>5</v>
      </c>
      <c r="G12" s="549">
        <f>F12*3</f>
        <v>15</v>
      </c>
      <c r="H12" s="550">
        <v>3698</v>
      </c>
      <c r="I12" s="550">
        <f>H12*2</f>
        <v>7396</v>
      </c>
      <c r="J12" s="549">
        <v>0</v>
      </c>
      <c r="K12" s="549">
        <v>0</v>
      </c>
      <c r="L12" s="551" t="s">
        <v>337</v>
      </c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  <c r="IX12" s="395"/>
      <c r="IY12" s="395"/>
      <c r="IZ12" s="395"/>
      <c r="JA12" s="395"/>
      <c r="JB12" s="395"/>
      <c r="JC12" s="395"/>
      <c r="JD12" s="395"/>
      <c r="JE12" s="395"/>
      <c r="JF12" s="395"/>
      <c r="JG12" s="395"/>
      <c r="JH12" s="395"/>
      <c r="JI12" s="395"/>
      <c r="JJ12" s="395"/>
      <c r="JK12" s="395"/>
      <c r="JL12" s="395"/>
      <c r="JM12" s="395"/>
      <c r="JN12" s="395"/>
      <c r="JO12" s="395"/>
      <c r="JP12" s="395"/>
      <c r="JQ12" s="395"/>
      <c r="JR12" s="395"/>
      <c r="JS12" s="395"/>
      <c r="JT12" s="395"/>
      <c r="JU12" s="395"/>
      <c r="JV12" s="395"/>
      <c r="JW12" s="395"/>
      <c r="JX12" s="395"/>
      <c r="JY12" s="395"/>
      <c r="JZ12" s="395"/>
      <c r="KA12" s="395"/>
      <c r="KB12" s="395"/>
      <c r="KC12" s="395"/>
      <c r="KD12" s="395"/>
      <c r="KE12" s="395"/>
      <c r="KF12" s="395"/>
      <c r="KG12" s="395"/>
      <c r="KH12" s="395"/>
      <c r="KI12" s="395"/>
      <c r="KJ12" s="395"/>
      <c r="KK12" s="395"/>
      <c r="KL12" s="395"/>
      <c r="KM12" s="395"/>
      <c r="KN12" s="395"/>
      <c r="KO12" s="395"/>
      <c r="KP12" s="395"/>
      <c r="KQ12" s="395"/>
      <c r="KR12" s="395"/>
      <c r="KS12" s="395"/>
      <c r="KT12" s="395"/>
      <c r="KU12" s="395"/>
      <c r="KV12" s="395"/>
      <c r="KW12" s="395"/>
      <c r="KX12" s="395"/>
      <c r="KY12" s="395"/>
      <c r="KZ12" s="395"/>
      <c r="LA12" s="395"/>
      <c r="LB12" s="395"/>
      <c r="LC12" s="395"/>
      <c r="LD12" s="395"/>
      <c r="LE12" s="395"/>
      <c r="LF12" s="395"/>
      <c r="LG12" s="395"/>
      <c r="LH12" s="395"/>
      <c r="LI12" s="395"/>
      <c r="LJ12" s="395"/>
      <c r="LK12" s="395"/>
      <c r="LL12" s="395"/>
      <c r="LM12" s="395"/>
      <c r="LN12" s="395"/>
      <c r="LO12" s="395"/>
      <c r="LP12" s="395"/>
      <c r="LQ12" s="395"/>
      <c r="LR12" s="395"/>
      <c r="LS12" s="395"/>
      <c r="LT12" s="395"/>
      <c r="LU12" s="395"/>
      <c r="LV12" s="395"/>
      <c r="LW12" s="395"/>
      <c r="LX12" s="395"/>
      <c r="LY12" s="395"/>
      <c r="LZ12" s="395"/>
      <c r="MA12" s="395"/>
      <c r="MB12" s="395"/>
      <c r="MC12" s="395"/>
      <c r="MD12" s="395"/>
      <c r="ME12" s="395"/>
      <c r="MF12" s="395"/>
      <c r="MG12" s="395"/>
      <c r="MH12" s="395"/>
      <c r="MI12" s="395"/>
      <c r="MJ12" s="395"/>
      <c r="MK12" s="395"/>
      <c r="ML12" s="395"/>
      <c r="MM12" s="395"/>
      <c r="MN12" s="395"/>
      <c r="MO12" s="395"/>
      <c r="MP12" s="395"/>
      <c r="MQ12" s="395"/>
      <c r="MR12" s="395"/>
      <c r="MS12" s="395"/>
      <c r="MT12" s="395"/>
      <c r="MU12" s="395"/>
      <c r="MV12" s="395"/>
      <c r="MW12" s="395"/>
      <c r="MX12" s="395"/>
      <c r="MY12" s="395"/>
      <c r="MZ12" s="395"/>
      <c r="NA12" s="395"/>
      <c r="NB12" s="395"/>
      <c r="NC12" s="395"/>
      <c r="ND12" s="395"/>
      <c r="NE12" s="395"/>
      <c r="NF12" s="395"/>
      <c r="NG12" s="395"/>
      <c r="NH12" s="395"/>
      <c r="NI12" s="395"/>
      <c r="NJ12" s="395"/>
      <c r="NK12" s="395"/>
      <c r="NL12" s="395"/>
      <c r="NM12" s="395"/>
      <c r="NN12" s="395"/>
      <c r="NO12" s="395"/>
      <c r="NP12" s="395"/>
      <c r="NQ12" s="395"/>
      <c r="NR12" s="395"/>
      <c r="NS12" s="395"/>
      <c r="NT12" s="395"/>
      <c r="NU12" s="395"/>
      <c r="NV12" s="395"/>
      <c r="NW12" s="395"/>
      <c r="NX12" s="395"/>
      <c r="NY12" s="395"/>
      <c r="NZ12" s="395"/>
      <c r="OA12" s="395"/>
      <c r="OB12" s="395"/>
      <c r="OC12" s="395"/>
      <c r="OD12" s="395"/>
      <c r="OE12" s="395"/>
      <c r="OF12" s="395"/>
      <c r="OG12" s="395"/>
      <c r="OH12" s="395"/>
      <c r="OI12" s="395"/>
      <c r="OJ12" s="395"/>
      <c r="OK12" s="395"/>
      <c r="OL12" s="395"/>
      <c r="OM12" s="395"/>
      <c r="ON12" s="395"/>
      <c r="OO12" s="395"/>
      <c r="OP12" s="395"/>
      <c r="OQ12" s="395"/>
      <c r="OR12" s="395"/>
      <c r="OS12" s="395"/>
      <c r="OT12" s="395"/>
      <c r="OU12" s="395"/>
      <c r="OV12" s="395"/>
      <c r="OW12" s="395"/>
      <c r="OX12" s="395"/>
      <c r="OY12" s="395"/>
      <c r="OZ12" s="395"/>
      <c r="PA12" s="395"/>
      <c r="PB12" s="395"/>
      <c r="PC12" s="395"/>
      <c r="PD12" s="395"/>
      <c r="PE12" s="395"/>
      <c r="PF12" s="395"/>
      <c r="PG12" s="395"/>
      <c r="PH12" s="395"/>
      <c r="PI12" s="395"/>
      <c r="PJ12" s="395"/>
      <c r="PK12" s="395"/>
      <c r="PL12" s="395"/>
      <c r="PM12" s="395"/>
      <c r="PN12" s="395"/>
      <c r="PO12" s="395"/>
      <c r="PP12" s="395"/>
      <c r="PQ12" s="395"/>
      <c r="PR12" s="395"/>
      <c r="PS12" s="395"/>
      <c r="PT12" s="395"/>
      <c r="PU12" s="395"/>
      <c r="PV12" s="395"/>
      <c r="PW12" s="395"/>
      <c r="PX12" s="395"/>
      <c r="PY12" s="395"/>
      <c r="PZ12" s="395"/>
      <c r="QA12" s="395"/>
      <c r="QB12" s="395"/>
      <c r="QC12" s="395"/>
      <c r="QD12" s="395"/>
      <c r="QE12" s="395"/>
      <c r="QF12" s="395"/>
      <c r="QG12" s="395"/>
      <c r="QH12" s="395"/>
      <c r="QI12" s="395"/>
      <c r="QJ12" s="395"/>
      <c r="QK12" s="395"/>
      <c r="QL12" s="395"/>
      <c r="QM12" s="395"/>
      <c r="QN12" s="395"/>
      <c r="QO12" s="395"/>
      <c r="QP12" s="395"/>
      <c r="QQ12" s="395"/>
      <c r="QR12" s="395"/>
      <c r="QS12" s="395"/>
      <c r="QT12" s="395"/>
      <c r="QU12" s="395"/>
      <c r="QV12" s="395"/>
      <c r="QW12" s="395"/>
      <c r="QX12" s="395"/>
      <c r="QY12" s="395"/>
      <c r="QZ12" s="395"/>
      <c r="RA12" s="395"/>
      <c r="RB12" s="395"/>
      <c r="RC12" s="395"/>
      <c r="RD12" s="395"/>
      <c r="RE12" s="395"/>
      <c r="RF12" s="395"/>
      <c r="RG12" s="395"/>
      <c r="RH12" s="395"/>
      <c r="RI12" s="395"/>
      <c r="RJ12" s="395"/>
      <c r="RK12" s="395"/>
      <c r="RL12" s="395"/>
      <c r="RM12" s="395"/>
      <c r="RN12" s="395"/>
      <c r="RO12" s="395"/>
      <c r="RP12" s="395"/>
      <c r="RQ12" s="395"/>
      <c r="RR12" s="395"/>
      <c r="RS12" s="395"/>
      <c r="RT12" s="395"/>
      <c r="RU12" s="395"/>
      <c r="RV12" s="395"/>
      <c r="RW12" s="395"/>
      <c r="RX12" s="395"/>
      <c r="RY12" s="395"/>
      <c r="RZ12" s="395"/>
      <c r="SA12" s="395"/>
      <c r="SB12" s="395"/>
      <c r="SC12" s="395"/>
      <c r="SD12" s="395"/>
      <c r="SE12" s="395"/>
      <c r="SF12" s="395"/>
      <c r="SG12" s="395"/>
      <c r="SH12" s="395"/>
      <c r="SI12" s="395"/>
      <c r="SJ12" s="395"/>
      <c r="SK12" s="395"/>
      <c r="SL12" s="395"/>
      <c r="SM12" s="395"/>
      <c r="SN12" s="395"/>
      <c r="SO12" s="395"/>
      <c r="SP12" s="395"/>
      <c r="SQ12" s="395"/>
      <c r="SR12" s="395"/>
      <c r="SS12" s="395"/>
      <c r="ST12" s="395"/>
      <c r="SU12" s="395"/>
      <c r="SV12" s="395"/>
      <c r="SW12" s="395"/>
      <c r="SX12" s="395"/>
      <c r="SY12" s="395"/>
      <c r="SZ12" s="395"/>
      <c r="TA12" s="395"/>
      <c r="TB12" s="395"/>
      <c r="TC12" s="395"/>
      <c r="TD12" s="395"/>
      <c r="TE12" s="395"/>
      <c r="TF12" s="395"/>
      <c r="TG12" s="395"/>
      <c r="TH12" s="395"/>
      <c r="TI12" s="395"/>
      <c r="TJ12" s="395"/>
      <c r="TK12" s="395"/>
      <c r="TL12" s="395"/>
      <c r="TM12" s="395"/>
      <c r="TN12" s="395"/>
      <c r="TO12" s="395"/>
      <c r="TP12" s="395"/>
      <c r="TQ12" s="395"/>
      <c r="TR12" s="395"/>
      <c r="TS12" s="395"/>
      <c r="TT12" s="395"/>
      <c r="TU12" s="395"/>
      <c r="TV12" s="395"/>
      <c r="TW12" s="395"/>
      <c r="TX12" s="395"/>
      <c r="TY12" s="395"/>
      <c r="TZ12" s="395"/>
      <c r="UA12" s="395"/>
      <c r="UB12" s="395"/>
      <c r="UC12" s="395"/>
      <c r="UD12" s="395"/>
      <c r="UE12" s="395"/>
      <c r="UF12" s="395"/>
      <c r="UG12" s="395"/>
      <c r="UH12" s="395"/>
      <c r="UI12" s="395"/>
      <c r="UJ12" s="395"/>
      <c r="UK12" s="395"/>
      <c r="UL12" s="395"/>
      <c r="UM12" s="395"/>
      <c r="UN12" s="395"/>
      <c r="UO12" s="395"/>
      <c r="UP12" s="395"/>
      <c r="UQ12" s="395"/>
      <c r="UR12" s="395"/>
      <c r="US12" s="395"/>
      <c r="UT12" s="395"/>
      <c r="UU12" s="395"/>
      <c r="UV12" s="395"/>
      <c r="UW12" s="395"/>
      <c r="UX12" s="395"/>
      <c r="UY12" s="395"/>
      <c r="UZ12" s="395"/>
      <c r="VA12" s="395"/>
      <c r="VB12" s="395"/>
      <c r="VC12" s="395"/>
      <c r="VD12" s="395"/>
      <c r="VE12" s="395"/>
      <c r="VF12" s="395"/>
      <c r="VG12" s="395"/>
      <c r="VH12" s="395"/>
      <c r="VI12" s="395"/>
      <c r="VJ12" s="395"/>
      <c r="VK12" s="395"/>
      <c r="VL12" s="395"/>
      <c r="VM12" s="395"/>
      <c r="VN12" s="395"/>
      <c r="VO12" s="395"/>
      <c r="VP12" s="395"/>
      <c r="VQ12" s="395"/>
      <c r="VR12" s="395"/>
      <c r="VS12" s="395"/>
      <c r="VT12" s="395"/>
      <c r="VU12" s="395"/>
      <c r="VV12" s="395"/>
      <c r="VW12" s="395"/>
      <c r="VX12" s="395"/>
      <c r="VY12" s="395"/>
      <c r="VZ12" s="395"/>
      <c r="WA12" s="395"/>
      <c r="WB12" s="395"/>
      <c r="WC12" s="395"/>
      <c r="WD12" s="395"/>
      <c r="WE12" s="395"/>
      <c r="WF12" s="395"/>
      <c r="WG12" s="395"/>
      <c r="WH12" s="395"/>
      <c r="WI12" s="395"/>
      <c r="WJ12" s="395"/>
      <c r="WK12" s="395"/>
      <c r="WL12" s="395"/>
      <c r="WM12" s="395"/>
      <c r="WN12" s="395"/>
      <c r="WO12" s="395"/>
      <c r="WP12" s="395"/>
      <c r="WQ12" s="395"/>
      <c r="WR12" s="395"/>
      <c r="WS12" s="395"/>
      <c r="WT12" s="395"/>
      <c r="WU12" s="395"/>
      <c r="WV12" s="395"/>
      <c r="WW12" s="395"/>
      <c r="WX12" s="395"/>
      <c r="WY12" s="395"/>
      <c r="WZ12" s="395"/>
      <c r="XA12" s="395"/>
      <c r="XB12" s="395"/>
      <c r="XC12" s="395"/>
      <c r="XD12" s="395"/>
      <c r="XE12" s="395"/>
      <c r="XF12" s="395"/>
      <c r="XG12" s="395"/>
      <c r="XH12" s="395"/>
      <c r="XI12" s="395"/>
      <c r="XJ12" s="395"/>
      <c r="XK12" s="395"/>
      <c r="XL12" s="395"/>
      <c r="XM12" s="395"/>
      <c r="XN12" s="395"/>
      <c r="XO12" s="395"/>
      <c r="XP12" s="395"/>
      <c r="XQ12" s="395"/>
      <c r="XR12" s="395"/>
      <c r="XS12" s="395"/>
      <c r="XT12" s="395"/>
      <c r="XU12" s="395"/>
      <c r="XV12" s="395"/>
      <c r="XW12" s="395"/>
      <c r="XX12" s="395"/>
      <c r="XY12" s="395"/>
      <c r="XZ12" s="395"/>
      <c r="YA12" s="395"/>
      <c r="YB12" s="395"/>
      <c r="YC12" s="395"/>
      <c r="YD12" s="395"/>
      <c r="YE12" s="395"/>
      <c r="YF12" s="395"/>
      <c r="YG12" s="395"/>
      <c r="YH12" s="395"/>
      <c r="YI12" s="395"/>
      <c r="YJ12" s="395"/>
      <c r="YK12" s="395"/>
      <c r="YL12" s="395"/>
      <c r="YM12" s="395"/>
      <c r="YN12" s="395"/>
      <c r="YO12" s="395"/>
      <c r="YP12" s="395"/>
      <c r="YQ12" s="395"/>
      <c r="YR12" s="395"/>
      <c r="YS12" s="395"/>
      <c r="YT12" s="395"/>
      <c r="YU12" s="395"/>
      <c r="YV12" s="395"/>
      <c r="YW12" s="395"/>
      <c r="YX12" s="395"/>
      <c r="YY12" s="395"/>
      <c r="YZ12" s="395"/>
      <c r="ZA12" s="395"/>
      <c r="ZB12" s="395"/>
      <c r="ZC12" s="395"/>
      <c r="ZD12" s="395"/>
      <c r="ZE12" s="395"/>
      <c r="ZF12" s="395"/>
      <c r="ZG12" s="395"/>
      <c r="ZH12" s="395"/>
      <c r="ZI12" s="395"/>
      <c r="ZJ12" s="395"/>
      <c r="ZK12" s="395"/>
      <c r="ZL12" s="395"/>
      <c r="ZM12" s="395"/>
      <c r="ZN12" s="395"/>
      <c r="ZO12" s="395"/>
      <c r="ZP12" s="395"/>
      <c r="ZQ12" s="395"/>
      <c r="ZR12" s="395"/>
      <c r="ZS12" s="395"/>
      <c r="ZT12" s="395"/>
      <c r="ZU12" s="395"/>
      <c r="ZV12" s="395"/>
      <c r="ZW12" s="395"/>
      <c r="ZX12" s="395"/>
      <c r="ZY12" s="395"/>
      <c r="ZZ12" s="395"/>
      <c r="AAA12" s="395"/>
      <c r="AAB12" s="395"/>
      <c r="AAC12" s="395"/>
      <c r="AAD12" s="395"/>
      <c r="AAE12" s="395"/>
      <c r="AAF12" s="395"/>
      <c r="AAG12" s="395"/>
      <c r="AAH12" s="395"/>
      <c r="AAI12" s="395"/>
      <c r="AAJ12" s="395"/>
      <c r="AAK12" s="395"/>
      <c r="AAL12" s="395"/>
      <c r="AAM12" s="395"/>
      <c r="AAN12" s="395"/>
      <c r="AAO12" s="395"/>
      <c r="AAP12" s="395"/>
      <c r="AAQ12" s="395"/>
      <c r="AAR12" s="395"/>
      <c r="AAS12" s="395"/>
      <c r="AAT12" s="395"/>
      <c r="AAU12" s="395"/>
      <c r="AAV12" s="395"/>
      <c r="AAW12" s="395"/>
      <c r="AAX12" s="395"/>
      <c r="AAY12" s="395"/>
      <c r="AAZ12" s="395"/>
      <c r="ABA12" s="395"/>
      <c r="ABB12" s="395"/>
      <c r="ABC12" s="395"/>
      <c r="ABD12" s="395"/>
      <c r="ABE12" s="395"/>
      <c r="ABF12" s="395"/>
      <c r="ABG12" s="395"/>
      <c r="ABH12" s="395"/>
      <c r="ABI12" s="395"/>
      <c r="ABJ12" s="395"/>
      <c r="ABK12" s="395"/>
      <c r="ABL12" s="395"/>
      <c r="ABM12" s="395"/>
      <c r="ABN12" s="395"/>
      <c r="ABO12" s="395"/>
      <c r="ABP12" s="395"/>
      <c r="ABQ12" s="395"/>
      <c r="ABR12" s="395"/>
      <c r="ABS12" s="395"/>
      <c r="ABT12" s="395"/>
      <c r="ABU12" s="395"/>
      <c r="ABV12" s="395"/>
      <c r="ABW12" s="395"/>
      <c r="ABX12" s="395"/>
      <c r="ABY12" s="395"/>
      <c r="ABZ12" s="395"/>
      <c r="ACA12" s="395"/>
      <c r="ACB12" s="395"/>
      <c r="ACC12" s="395"/>
      <c r="ACD12" s="395"/>
      <c r="ACE12" s="395"/>
      <c r="ACF12" s="395"/>
      <c r="ACG12" s="395"/>
    </row>
    <row r="13" spans="1:761" s="289" customFormat="1" ht="15" customHeight="1" x14ac:dyDescent="0.2">
      <c r="A13" s="460" t="s">
        <v>4</v>
      </c>
      <c r="B13" s="466">
        <v>361701</v>
      </c>
      <c r="C13" s="466">
        <v>675265</v>
      </c>
      <c r="D13" s="466">
        <v>22735</v>
      </c>
      <c r="E13" s="466">
        <v>436241</v>
      </c>
      <c r="F13" s="466">
        <v>21095</v>
      </c>
      <c r="G13" s="466">
        <f>F13*3</f>
        <v>63285</v>
      </c>
      <c r="H13" s="467">
        <v>32715</v>
      </c>
      <c r="I13" s="467">
        <f>H13*2</f>
        <v>65430</v>
      </c>
      <c r="J13" s="466">
        <v>148343</v>
      </c>
      <c r="K13" s="466">
        <f>J13*26</f>
        <v>3856918</v>
      </c>
      <c r="L13" s="468" t="s">
        <v>16</v>
      </c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  <c r="IX13" s="395"/>
      <c r="IY13" s="395"/>
      <c r="IZ13" s="395"/>
      <c r="JA13" s="395"/>
      <c r="JB13" s="395"/>
      <c r="JC13" s="395"/>
      <c r="JD13" s="395"/>
      <c r="JE13" s="395"/>
      <c r="JF13" s="395"/>
      <c r="JG13" s="395"/>
      <c r="JH13" s="395"/>
      <c r="JI13" s="395"/>
      <c r="JJ13" s="395"/>
      <c r="JK13" s="395"/>
      <c r="JL13" s="395"/>
      <c r="JM13" s="395"/>
      <c r="JN13" s="395"/>
      <c r="JO13" s="395"/>
      <c r="JP13" s="395"/>
      <c r="JQ13" s="395"/>
      <c r="JR13" s="395"/>
      <c r="JS13" s="395"/>
      <c r="JT13" s="395"/>
      <c r="JU13" s="395"/>
      <c r="JV13" s="395"/>
      <c r="JW13" s="395"/>
      <c r="JX13" s="395"/>
      <c r="JY13" s="395"/>
      <c r="JZ13" s="395"/>
      <c r="KA13" s="395"/>
      <c r="KB13" s="395"/>
      <c r="KC13" s="395"/>
      <c r="KD13" s="395"/>
      <c r="KE13" s="395"/>
      <c r="KF13" s="395"/>
      <c r="KG13" s="395"/>
      <c r="KH13" s="395"/>
      <c r="KI13" s="395"/>
      <c r="KJ13" s="395"/>
      <c r="KK13" s="395"/>
      <c r="KL13" s="395"/>
      <c r="KM13" s="395"/>
      <c r="KN13" s="395"/>
      <c r="KO13" s="395"/>
      <c r="KP13" s="395"/>
      <c r="KQ13" s="395"/>
      <c r="KR13" s="395"/>
      <c r="KS13" s="395"/>
      <c r="KT13" s="395"/>
      <c r="KU13" s="395"/>
      <c r="KV13" s="395"/>
      <c r="KW13" s="395"/>
      <c r="KX13" s="395"/>
      <c r="KY13" s="395"/>
      <c r="KZ13" s="395"/>
      <c r="LA13" s="395"/>
      <c r="LB13" s="395"/>
      <c r="LC13" s="395"/>
      <c r="LD13" s="395"/>
      <c r="LE13" s="395"/>
      <c r="LF13" s="395"/>
      <c r="LG13" s="395"/>
      <c r="LH13" s="395"/>
      <c r="LI13" s="395"/>
      <c r="LJ13" s="395"/>
      <c r="LK13" s="395"/>
      <c r="LL13" s="395"/>
      <c r="LM13" s="395"/>
      <c r="LN13" s="395"/>
      <c r="LO13" s="395"/>
      <c r="LP13" s="395"/>
      <c r="LQ13" s="395"/>
      <c r="LR13" s="395"/>
      <c r="LS13" s="395"/>
      <c r="LT13" s="395"/>
      <c r="LU13" s="395"/>
      <c r="LV13" s="395"/>
      <c r="LW13" s="395"/>
      <c r="LX13" s="395"/>
      <c r="LY13" s="395"/>
      <c r="LZ13" s="395"/>
      <c r="MA13" s="395"/>
      <c r="MB13" s="395"/>
      <c r="MC13" s="395"/>
      <c r="MD13" s="395"/>
      <c r="ME13" s="395"/>
      <c r="MF13" s="395"/>
      <c r="MG13" s="395"/>
      <c r="MH13" s="395"/>
      <c r="MI13" s="395"/>
      <c r="MJ13" s="395"/>
      <c r="MK13" s="395"/>
      <c r="ML13" s="395"/>
      <c r="MM13" s="395"/>
      <c r="MN13" s="395"/>
      <c r="MO13" s="395"/>
      <c r="MP13" s="395"/>
      <c r="MQ13" s="395"/>
      <c r="MR13" s="395"/>
      <c r="MS13" s="395"/>
      <c r="MT13" s="395"/>
      <c r="MU13" s="395"/>
      <c r="MV13" s="395"/>
      <c r="MW13" s="395"/>
      <c r="MX13" s="395"/>
      <c r="MY13" s="395"/>
      <c r="MZ13" s="395"/>
      <c r="NA13" s="395"/>
      <c r="NB13" s="395"/>
      <c r="NC13" s="395"/>
      <c r="ND13" s="395"/>
      <c r="NE13" s="395"/>
      <c r="NF13" s="395"/>
      <c r="NG13" s="395"/>
      <c r="NH13" s="395"/>
      <c r="NI13" s="395"/>
      <c r="NJ13" s="395"/>
      <c r="NK13" s="395"/>
      <c r="NL13" s="395"/>
      <c r="NM13" s="395"/>
      <c r="NN13" s="395"/>
      <c r="NO13" s="395"/>
      <c r="NP13" s="395"/>
      <c r="NQ13" s="395"/>
      <c r="NR13" s="395"/>
      <c r="NS13" s="395"/>
      <c r="NT13" s="395"/>
      <c r="NU13" s="395"/>
      <c r="NV13" s="395"/>
      <c r="NW13" s="395"/>
      <c r="NX13" s="395"/>
      <c r="NY13" s="395"/>
      <c r="NZ13" s="395"/>
      <c r="OA13" s="395"/>
      <c r="OB13" s="395"/>
      <c r="OC13" s="395"/>
      <c r="OD13" s="395"/>
      <c r="OE13" s="395"/>
      <c r="OF13" s="395"/>
      <c r="OG13" s="395"/>
      <c r="OH13" s="395"/>
      <c r="OI13" s="395"/>
      <c r="OJ13" s="395"/>
      <c r="OK13" s="395"/>
      <c r="OL13" s="395"/>
      <c r="OM13" s="395"/>
      <c r="ON13" s="395"/>
      <c r="OO13" s="395"/>
      <c r="OP13" s="395"/>
      <c r="OQ13" s="395"/>
      <c r="OR13" s="395"/>
      <c r="OS13" s="395"/>
      <c r="OT13" s="395"/>
      <c r="OU13" s="395"/>
      <c r="OV13" s="395"/>
      <c r="OW13" s="395"/>
      <c r="OX13" s="395"/>
      <c r="OY13" s="395"/>
      <c r="OZ13" s="395"/>
      <c r="PA13" s="395"/>
      <c r="PB13" s="395"/>
      <c r="PC13" s="395"/>
      <c r="PD13" s="395"/>
      <c r="PE13" s="395"/>
      <c r="PF13" s="395"/>
      <c r="PG13" s="395"/>
      <c r="PH13" s="395"/>
      <c r="PI13" s="395"/>
      <c r="PJ13" s="395"/>
      <c r="PK13" s="395"/>
      <c r="PL13" s="395"/>
      <c r="PM13" s="395"/>
      <c r="PN13" s="395"/>
      <c r="PO13" s="395"/>
      <c r="PP13" s="395"/>
      <c r="PQ13" s="395"/>
      <c r="PR13" s="395"/>
      <c r="PS13" s="395"/>
      <c r="PT13" s="395"/>
      <c r="PU13" s="395"/>
      <c r="PV13" s="395"/>
      <c r="PW13" s="395"/>
      <c r="PX13" s="395"/>
      <c r="PY13" s="395"/>
      <c r="PZ13" s="395"/>
      <c r="QA13" s="395"/>
      <c r="QB13" s="395"/>
      <c r="QC13" s="395"/>
      <c r="QD13" s="395"/>
      <c r="QE13" s="395"/>
      <c r="QF13" s="395"/>
      <c r="QG13" s="395"/>
      <c r="QH13" s="395"/>
      <c r="QI13" s="395"/>
      <c r="QJ13" s="395"/>
      <c r="QK13" s="395"/>
      <c r="QL13" s="395"/>
      <c r="QM13" s="395"/>
      <c r="QN13" s="395"/>
      <c r="QO13" s="395"/>
      <c r="QP13" s="395"/>
      <c r="QQ13" s="395"/>
      <c r="QR13" s="395"/>
      <c r="QS13" s="395"/>
      <c r="QT13" s="395"/>
      <c r="QU13" s="395"/>
      <c r="QV13" s="395"/>
      <c r="QW13" s="395"/>
      <c r="QX13" s="395"/>
      <c r="QY13" s="395"/>
      <c r="QZ13" s="395"/>
      <c r="RA13" s="395"/>
      <c r="RB13" s="395"/>
      <c r="RC13" s="395"/>
      <c r="RD13" s="395"/>
      <c r="RE13" s="395"/>
      <c r="RF13" s="395"/>
      <c r="RG13" s="395"/>
      <c r="RH13" s="395"/>
      <c r="RI13" s="395"/>
      <c r="RJ13" s="395"/>
      <c r="RK13" s="395"/>
      <c r="RL13" s="395"/>
      <c r="RM13" s="395"/>
      <c r="RN13" s="395"/>
      <c r="RO13" s="395"/>
      <c r="RP13" s="395"/>
      <c r="RQ13" s="395"/>
      <c r="RR13" s="395"/>
      <c r="RS13" s="395"/>
      <c r="RT13" s="395"/>
      <c r="RU13" s="395"/>
      <c r="RV13" s="395"/>
      <c r="RW13" s="395"/>
      <c r="RX13" s="395"/>
      <c r="RY13" s="395"/>
      <c r="RZ13" s="395"/>
      <c r="SA13" s="395"/>
      <c r="SB13" s="395"/>
      <c r="SC13" s="395"/>
      <c r="SD13" s="395"/>
      <c r="SE13" s="395"/>
      <c r="SF13" s="395"/>
      <c r="SG13" s="395"/>
      <c r="SH13" s="395"/>
      <c r="SI13" s="395"/>
      <c r="SJ13" s="395"/>
      <c r="SK13" s="395"/>
      <c r="SL13" s="395"/>
      <c r="SM13" s="395"/>
      <c r="SN13" s="395"/>
      <c r="SO13" s="395"/>
      <c r="SP13" s="395"/>
      <c r="SQ13" s="395"/>
      <c r="SR13" s="395"/>
      <c r="SS13" s="395"/>
      <c r="ST13" s="395"/>
      <c r="SU13" s="395"/>
      <c r="SV13" s="395"/>
      <c r="SW13" s="395"/>
      <c r="SX13" s="395"/>
      <c r="SY13" s="395"/>
      <c r="SZ13" s="395"/>
      <c r="TA13" s="395"/>
      <c r="TB13" s="395"/>
      <c r="TC13" s="395"/>
      <c r="TD13" s="395"/>
      <c r="TE13" s="395"/>
      <c r="TF13" s="395"/>
      <c r="TG13" s="395"/>
      <c r="TH13" s="395"/>
      <c r="TI13" s="395"/>
      <c r="TJ13" s="395"/>
      <c r="TK13" s="395"/>
      <c r="TL13" s="395"/>
      <c r="TM13" s="395"/>
      <c r="TN13" s="395"/>
      <c r="TO13" s="395"/>
      <c r="TP13" s="395"/>
      <c r="TQ13" s="395"/>
      <c r="TR13" s="395"/>
      <c r="TS13" s="395"/>
      <c r="TT13" s="395"/>
      <c r="TU13" s="395"/>
      <c r="TV13" s="395"/>
      <c r="TW13" s="395"/>
      <c r="TX13" s="395"/>
      <c r="TY13" s="395"/>
      <c r="TZ13" s="395"/>
      <c r="UA13" s="395"/>
      <c r="UB13" s="395"/>
      <c r="UC13" s="395"/>
      <c r="UD13" s="395"/>
      <c r="UE13" s="395"/>
      <c r="UF13" s="395"/>
      <c r="UG13" s="395"/>
      <c r="UH13" s="395"/>
      <c r="UI13" s="395"/>
      <c r="UJ13" s="395"/>
      <c r="UK13" s="395"/>
      <c r="UL13" s="395"/>
      <c r="UM13" s="395"/>
      <c r="UN13" s="395"/>
      <c r="UO13" s="395"/>
      <c r="UP13" s="395"/>
      <c r="UQ13" s="395"/>
      <c r="UR13" s="395"/>
      <c r="US13" s="395"/>
      <c r="UT13" s="395"/>
      <c r="UU13" s="395"/>
      <c r="UV13" s="395"/>
      <c r="UW13" s="395"/>
      <c r="UX13" s="395"/>
      <c r="UY13" s="395"/>
      <c r="UZ13" s="395"/>
      <c r="VA13" s="395"/>
      <c r="VB13" s="395"/>
      <c r="VC13" s="395"/>
      <c r="VD13" s="395"/>
      <c r="VE13" s="395"/>
      <c r="VF13" s="395"/>
      <c r="VG13" s="395"/>
      <c r="VH13" s="395"/>
      <c r="VI13" s="395"/>
      <c r="VJ13" s="395"/>
      <c r="VK13" s="395"/>
      <c r="VL13" s="395"/>
      <c r="VM13" s="395"/>
      <c r="VN13" s="395"/>
      <c r="VO13" s="395"/>
      <c r="VP13" s="395"/>
      <c r="VQ13" s="395"/>
      <c r="VR13" s="395"/>
      <c r="VS13" s="395"/>
      <c r="VT13" s="395"/>
      <c r="VU13" s="395"/>
      <c r="VV13" s="395"/>
      <c r="VW13" s="395"/>
      <c r="VX13" s="395"/>
      <c r="VY13" s="395"/>
      <c r="VZ13" s="395"/>
      <c r="WA13" s="395"/>
      <c r="WB13" s="395"/>
      <c r="WC13" s="395"/>
      <c r="WD13" s="395"/>
      <c r="WE13" s="395"/>
      <c r="WF13" s="395"/>
      <c r="WG13" s="395"/>
      <c r="WH13" s="395"/>
      <c r="WI13" s="395"/>
      <c r="WJ13" s="395"/>
      <c r="WK13" s="395"/>
      <c r="WL13" s="395"/>
      <c r="WM13" s="395"/>
      <c r="WN13" s="395"/>
      <c r="WO13" s="395"/>
      <c r="WP13" s="395"/>
      <c r="WQ13" s="395"/>
      <c r="WR13" s="395"/>
      <c r="WS13" s="395"/>
      <c r="WT13" s="395"/>
      <c r="WU13" s="395"/>
      <c r="WV13" s="395"/>
      <c r="WW13" s="395"/>
      <c r="WX13" s="395"/>
      <c r="WY13" s="395"/>
      <c r="WZ13" s="395"/>
      <c r="XA13" s="395"/>
      <c r="XB13" s="395"/>
      <c r="XC13" s="395"/>
      <c r="XD13" s="395"/>
      <c r="XE13" s="395"/>
      <c r="XF13" s="395"/>
      <c r="XG13" s="395"/>
      <c r="XH13" s="395"/>
      <c r="XI13" s="395"/>
      <c r="XJ13" s="395"/>
      <c r="XK13" s="395"/>
      <c r="XL13" s="395"/>
      <c r="XM13" s="395"/>
      <c r="XN13" s="395"/>
      <c r="XO13" s="395"/>
      <c r="XP13" s="395"/>
      <c r="XQ13" s="395"/>
      <c r="XR13" s="395"/>
      <c r="XS13" s="395"/>
      <c r="XT13" s="395"/>
      <c r="XU13" s="395"/>
      <c r="XV13" s="395"/>
      <c r="XW13" s="395"/>
      <c r="XX13" s="395"/>
      <c r="XY13" s="395"/>
      <c r="XZ13" s="395"/>
      <c r="YA13" s="395"/>
      <c r="YB13" s="395"/>
      <c r="YC13" s="395"/>
      <c r="YD13" s="395"/>
      <c r="YE13" s="395"/>
      <c r="YF13" s="395"/>
      <c r="YG13" s="395"/>
      <c r="YH13" s="395"/>
      <c r="YI13" s="395"/>
      <c r="YJ13" s="395"/>
      <c r="YK13" s="395"/>
      <c r="YL13" s="395"/>
      <c r="YM13" s="395"/>
      <c r="YN13" s="395"/>
      <c r="YO13" s="395"/>
      <c r="YP13" s="395"/>
      <c r="YQ13" s="395"/>
      <c r="YR13" s="395"/>
      <c r="YS13" s="395"/>
      <c r="YT13" s="395"/>
      <c r="YU13" s="395"/>
      <c r="YV13" s="395"/>
      <c r="YW13" s="395"/>
      <c r="YX13" s="395"/>
      <c r="YY13" s="395"/>
      <c r="YZ13" s="395"/>
      <c r="ZA13" s="395"/>
      <c r="ZB13" s="395"/>
      <c r="ZC13" s="395"/>
      <c r="ZD13" s="395"/>
      <c r="ZE13" s="395"/>
      <c r="ZF13" s="395"/>
      <c r="ZG13" s="395"/>
      <c r="ZH13" s="395"/>
      <c r="ZI13" s="395"/>
      <c r="ZJ13" s="395"/>
      <c r="ZK13" s="395"/>
      <c r="ZL13" s="395"/>
      <c r="ZM13" s="395"/>
      <c r="ZN13" s="395"/>
      <c r="ZO13" s="395"/>
      <c r="ZP13" s="395"/>
      <c r="ZQ13" s="395"/>
      <c r="ZR13" s="395"/>
      <c r="ZS13" s="395"/>
      <c r="ZT13" s="395"/>
      <c r="ZU13" s="395"/>
      <c r="ZV13" s="395"/>
      <c r="ZW13" s="395"/>
      <c r="ZX13" s="395"/>
      <c r="ZY13" s="395"/>
      <c r="ZZ13" s="395"/>
      <c r="AAA13" s="395"/>
      <c r="AAB13" s="395"/>
      <c r="AAC13" s="395"/>
      <c r="AAD13" s="395"/>
      <c r="AAE13" s="395"/>
      <c r="AAF13" s="395"/>
      <c r="AAG13" s="395"/>
      <c r="AAH13" s="395"/>
      <c r="AAI13" s="395"/>
      <c r="AAJ13" s="395"/>
      <c r="AAK13" s="395"/>
      <c r="AAL13" s="395"/>
      <c r="AAM13" s="395"/>
      <c r="AAN13" s="395"/>
      <c r="AAO13" s="395"/>
      <c r="AAP13" s="395"/>
      <c r="AAQ13" s="395"/>
      <c r="AAR13" s="395"/>
      <c r="AAS13" s="395"/>
      <c r="AAT13" s="395"/>
      <c r="AAU13" s="395"/>
      <c r="AAV13" s="395"/>
      <c r="AAW13" s="395"/>
      <c r="AAX13" s="395"/>
      <c r="AAY13" s="395"/>
      <c r="AAZ13" s="395"/>
      <c r="ABA13" s="395"/>
      <c r="ABB13" s="395"/>
      <c r="ABC13" s="395"/>
      <c r="ABD13" s="395"/>
      <c r="ABE13" s="395"/>
      <c r="ABF13" s="395"/>
      <c r="ABG13" s="395"/>
      <c r="ABH13" s="395"/>
      <c r="ABI13" s="395"/>
      <c r="ABJ13" s="395"/>
      <c r="ABK13" s="395"/>
      <c r="ABL13" s="395"/>
      <c r="ABM13" s="395"/>
      <c r="ABN13" s="395"/>
      <c r="ABO13" s="395"/>
      <c r="ABP13" s="395"/>
      <c r="ABQ13" s="395"/>
      <c r="ABR13" s="395"/>
      <c r="ABS13" s="395"/>
      <c r="ABT13" s="395"/>
      <c r="ABU13" s="395"/>
      <c r="ABV13" s="395"/>
      <c r="ABW13" s="395"/>
      <c r="ABX13" s="395"/>
      <c r="ABY13" s="395"/>
      <c r="ABZ13" s="395"/>
      <c r="ACA13" s="395"/>
      <c r="ACB13" s="395"/>
      <c r="ACC13" s="395"/>
      <c r="ACD13" s="395"/>
      <c r="ACE13" s="395"/>
      <c r="ACF13" s="395"/>
      <c r="ACG13" s="395"/>
    </row>
    <row r="14" spans="1:761" s="289" customFormat="1" ht="15" customHeight="1" x14ac:dyDescent="0.2">
      <c r="A14" s="542" t="s">
        <v>5</v>
      </c>
      <c r="B14" s="549">
        <v>52364</v>
      </c>
      <c r="C14" s="549">
        <v>56032</v>
      </c>
      <c r="D14" s="549">
        <v>3167</v>
      </c>
      <c r="E14" s="549">
        <v>25628</v>
      </c>
      <c r="F14" s="549">
        <v>1707</v>
      </c>
      <c r="G14" s="549">
        <f>F14*1</f>
        <v>1707</v>
      </c>
      <c r="H14" s="550">
        <v>13843</v>
      </c>
      <c r="I14" s="550">
        <f>H14*3</f>
        <v>41529</v>
      </c>
      <c r="J14" s="549">
        <v>0</v>
      </c>
      <c r="K14" s="549">
        <v>0</v>
      </c>
      <c r="L14" s="551" t="s">
        <v>23</v>
      </c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CS14" s="395"/>
      <c r="CT14" s="395"/>
      <c r="CU14" s="395"/>
      <c r="CV14" s="395"/>
      <c r="CW14" s="395"/>
      <c r="CX14" s="395"/>
      <c r="CY14" s="395"/>
      <c r="CZ14" s="395"/>
      <c r="DA14" s="395"/>
      <c r="DB14" s="395"/>
      <c r="DC14" s="395"/>
      <c r="DD14" s="395"/>
      <c r="DE14" s="395"/>
      <c r="DF14" s="395"/>
      <c r="DG14" s="395"/>
      <c r="DH14" s="395"/>
      <c r="DI14" s="395"/>
      <c r="DJ14" s="395"/>
      <c r="DK14" s="395"/>
      <c r="DL14" s="395"/>
      <c r="DM14" s="395"/>
      <c r="DN14" s="395"/>
      <c r="DO14" s="395"/>
      <c r="DP14" s="395"/>
      <c r="DQ14" s="395"/>
      <c r="DR14" s="395"/>
      <c r="DS14" s="395"/>
      <c r="DT14" s="395"/>
      <c r="DU14" s="395"/>
      <c r="DV14" s="395"/>
      <c r="DW14" s="395"/>
      <c r="DX14" s="395"/>
      <c r="DY14" s="395"/>
      <c r="DZ14" s="395"/>
      <c r="EA14" s="395"/>
      <c r="EB14" s="395"/>
      <c r="EC14" s="395"/>
      <c r="ED14" s="395"/>
      <c r="EE14" s="395"/>
      <c r="EF14" s="395"/>
      <c r="EG14" s="395"/>
      <c r="EH14" s="395"/>
      <c r="EI14" s="395"/>
      <c r="EJ14" s="395"/>
      <c r="EK14" s="395"/>
      <c r="EL14" s="395"/>
      <c r="EM14" s="395"/>
      <c r="EN14" s="395"/>
      <c r="EO14" s="395"/>
      <c r="EP14" s="395"/>
      <c r="EQ14" s="395"/>
      <c r="ER14" s="395"/>
      <c r="ES14" s="395"/>
      <c r="ET14" s="395"/>
      <c r="EU14" s="395"/>
      <c r="EV14" s="395"/>
      <c r="EW14" s="395"/>
      <c r="EX14" s="395"/>
      <c r="EY14" s="395"/>
      <c r="EZ14" s="395"/>
      <c r="FA14" s="395"/>
      <c r="FB14" s="395"/>
      <c r="FC14" s="395"/>
      <c r="FD14" s="395"/>
      <c r="FE14" s="395"/>
      <c r="FF14" s="395"/>
      <c r="FG14" s="395"/>
      <c r="FH14" s="395"/>
      <c r="FI14" s="395"/>
      <c r="FJ14" s="395"/>
      <c r="FK14" s="395"/>
      <c r="FL14" s="395"/>
      <c r="FM14" s="395"/>
      <c r="FN14" s="395"/>
      <c r="FO14" s="395"/>
      <c r="FP14" s="395"/>
      <c r="FQ14" s="395"/>
      <c r="FR14" s="395"/>
      <c r="FS14" s="395"/>
      <c r="FT14" s="395"/>
      <c r="FU14" s="395"/>
      <c r="FV14" s="395"/>
      <c r="FW14" s="395"/>
      <c r="FX14" s="395"/>
      <c r="FY14" s="395"/>
      <c r="FZ14" s="395"/>
      <c r="GA14" s="395"/>
      <c r="GB14" s="395"/>
      <c r="GC14" s="395"/>
      <c r="GD14" s="395"/>
      <c r="GE14" s="395"/>
      <c r="GF14" s="395"/>
      <c r="GG14" s="395"/>
      <c r="GH14" s="395"/>
      <c r="GI14" s="395"/>
      <c r="GJ14" s="395"/>
      <c r="GK14" s="395"/>
      <c r="GL14" s="395"/>
      <c r="GM14" s="395"/>
      <c r="GN14" s="395"/>
      <c r="GO14" s="395"/>
      <c r="GP14" s="395"/>
      <c r="GQ14" s="395"/>
      <c r="GR14" s="395"/>
      <c r="GS14" s="395"/>
      <c r="GT14" s="395"/>
      <c r="GU14" s="395"/>
      <c r="GV14" s="395"/>
      <c r="GW14" s="395"/>
      <c r="GX14" s="395"/>
      <c r="GY14" s="395"/>
      <c r="GZ14" s="395"/>
      <c r="HA14" s="395"/>
      <c r="HB14" s="395"/>
      <c r="HC14" s="395"/>
      <c r="HD14" s="395"/>
      <c r="HE14" s="395"/>
      <c r="HF14" s="395"/>
      <c r="HG14" s="395"/>
      <c r="HH14" s="395"/>
      <c r="HI14" s="395"/>
      <c r="HJ14" s="395"/>
      <c r="HK14" s="395"/>
      <c r="HL14" s="395"/>
      <c r="HM14" s="395"/>
      <c r="HN14" s="395"/>
      <c r="HO14" s="395"/>
      <c r="HP14" s="395"/>
      <c r="HQ14" s="395"/>
      <c r="HR14" s="395"/>
      <c r="HS14" s="395"/>
      <c r="HT14" s="395"/>
      <c r="HU14" s="395"/>
      <c r="HV14" s="395"/>
      <c r="HW14" s="395"/>
      <c r="HX14" s="395"/>
      <c r="HY14" s="395"/>
      <c r="HZ14" s="395"/>
      <c r="IA14" s="395"/>
      <c r="IB14" s="395"/>
      <c r="IC14" s="395"/>
      <c r="ID14" s="395"/>
      <c r="IE14" s="395"/>
      <c r="IF14" s="395"/>
      <c r="IG14" s="395"/>
      <c r="IH14" s="395"/>
      <c r="II14" s="395"/>
      <c r="IJ14" s="395"/>
      <c r="IK14" s="395"/>
      <c r="IL14" s="395"/>
      <c r="IM14" s="395"/>
      <c r="IN14" s="395"/>
      <c r="IO14" s="395"/>
      <c r="IP14" s="395"/>
      <c r="IQ14" s="395"/>
      <c r="IR14" s="395"/>
      <c r="IS14" s="395"/>
      <c r="IT14" s="395"/>
      <c r="IU14" s="395"/>
      <c r="IV14" s="395"/>
      <c r="IW14" s="395"/>
      <c r="IX14" s="395"/>
      <c r="IY14" s="395"/>
      <c r="IZ14" s="395"/>
      <c r="JA14" s="395"/>
      <c r="JB14" s="395"/>
      <c r="JC14" s="395"/>
      <c r="JD14" s="395"/>
      <c r="JE14" s="395"/>
      <c r="JF14" s="395"/>
      <c r="JG14" s="395"/>
      <c r="JH14" s="395"/>
      <c r="JI14" s="395"/>
      <c r="JJ14" s="395"/>
      <c r="JK14" s="395"/>
      <c r="JL14" s="395"/>
      <c r="JM14" s="395"/>
      <c r="JN14" s="395"/>
      <c r="JO14" s="395"/>
      <c r="JP14" s="395"/>
      <c r="JQ14" s="395"/>
      <c r="JR14" s="395"/>
      <c r="JS14" s="395"/>
      <c r="JT14" s="395"/>
      <c r="JU14" s="395"/>
      <c r="JV14" s="395"/>
      <c r="JW14" s="395"/>
      <c r="JX14" s="395"/>
      <c r="JY14" s="395"/>
      <c r="JZ14" s="395"/>
      <c r="KA14" s="395"/>
      <c r="KB14" s="395"/>
      <c r="KC14" s="395"/>
      <c r="KD14" s="395"/>
      <c r="KE14" s="395"/>
      <c r="KF14" s="395"/>
      <c r="KG14" s="395"/>
      <c r="KH14" s="395"/>
      <c r="KI14" s="395"/>
      <c r="KJ14" s="395"/>
      <c r="KK14" s="395"/>
      <c r="KL14" s="395"/>
      <c r="KM14" s="395"/>
      <c r="KN14" s="395"/>
      <c r="KO14" s="395"/>
      <c r="KP14" s="395"/>
      <c r="KQ14" s="395"/>
      <c r="KR14" s="395"/>
      <c r="KS14" s="395"/>
      <c r="KT14" s="395"/>
      <c r="KU14" s="395"/>
      <c r="KV14" s="395"/>
      <c r="KW14" s="395"/>
      <c r="KX14" s="395"/>
      <c r="KY14" s="395"/>
      <c r="KZ14" s="395"/>
      <c r="LA14" s="395"/>
      <c r="LB14" s="395"/>
      <c r="LC14" s="395"/>
      <c r="LD14" s="395"/>
      <c r="LE14" s="395"/>
      <c r="LF14" s="395"/>
      <c r="LG14" s="395"/>
      <c r="LH14" s="395"/>
      <c r="LI14" s="395"/>
      <c r="LJ14" s="395"/>
      <c r="LK14" s="395"/>
      <c r="LL14" s="395"/>
      <c r="LM14" s="395"/>
      <c r="LN14" s="395"/>
      <c r="LO14" s="395"/>
      <c r="LP14" s="395"/>
      <c r="LQ14" s="395"/>
      <c r="LR14" s="395"/>
      <c r="LS14" s="395"/>
      <c r="LT14" s="395"/>
      <c r="LU14" s="395"/>
      <c r="LV14" s="395"/>
      <c r="LW14" s="395"/>
      <c r="LX14" s="395"/>
      <c r="LY14" s="395"/>
      <c r="LZ14" s="395"/>
      <c r="MA14" s="395"/>
      <c r="MB14" s="395"/>
      <c r="MC14" s="395"/>
      <c r="MD14" s="395"/>
      <c r="ME14" s="395"/>
      <c r="MF14" s="395"/>
      <c r="MG14" s="395"/>
      <c r="MH14" s="395"/>
      <c r="MI14" s="395"/>
      <c r="MJ14" s="395"/>
      <c r="MK14" s="395"/>
      <c r="ML14" s="395"/>
      <c r="MM14" s="395"/>
      <c r="MN14" s="395"/>
      <c r="MO14" s="395"/>
      <c r="MP14" s="395"/>
      <c r="MQ14" s="395"/>
      <c r="MR14" s="395"/>
      <c r="MS14" s="395"/>
      <c r="MT14" s="395"/>
      <c r="MU14" s="395"/>
      <c r="MV14" s="395"/>
      <c r="MW14" s="395"/>
      <c r="MX14" s="395"/>
      <c r="MY14" s="395"/>
      <c r="MZ14" s="395"/>
      <c r="NA14" s="395"/>
      <c r="NB14" s="395"/>
      <c r="NC14" s="395"/>
      <c r="ND14" s="395"/>
      <c r="NE14" s="395"/>
      <c r="NF14" s="395"/>
      <c r="NG14" s="395"/>
      <c r="NH14" s="395"/>
      <c r="NI14" s="395"/>
      <c r="NJ14" s="395"/>
      <c r="NK14" s="395"/>
      <c r="NL14" s="395"/>
      <c r="NM14" s="395"/>
      <c r="NN14" s="395"/>
      <c r="NO14" s="395"/>
      <c r="NP14" s="395"/>
      <c r="NQ14" s="395"/>
      <c r="NR14" s="395"/>
      <c r="NS14" s="395"/>
      <c r="NT14" s="395"/>
      <c r="NU14" s="395"/>
      <c r="NV14" s="395"/>
      <c r="NW14" s="395"/>
      <c r="NX14" s="395"/>
      <c r="NY14" s="395"/>
      <c r="NZ14" s="395"/>
      <c r="OA14" s="395"/>
      <c r="OB14" s="395"/>
      <c r="OC14" s="395"/>
      <c r="OD14" s="395"/>
      <c r="OE14" s="395"/>
      <c r="OF14" s="395"/>
      <c r="OG14" s="395"/>
      <c r="OH14" s="395"/>
      <c r="OI14" s="395"/>
      <c r="OJ14" s="395"/>
      <c r="OK14" s="395"/>
      <c r="OL14" s="395"/>
      <c r="OM14" s="395"/>
      <c r="ON14" s="395"/>
      <c r="OO14" s="395"/>
      <c r="OP14" s="395"/>
      <c r="OQ14" s="395"/>
      <c r="OR14" s="395"/>
      <c r="OS14" s="395"/>
      <c r="OT14" s="395"/>
      <c r="OU14" s="395"/>
      <c r="OV14" s="395"/>
      <c r="OW14" s="395"/>
      <c r="OX14" s="395"/>
      <c r="OY14" s="395"/>
      <c r="OZ14" s="395"/>
      <c r="PA14" s="395"/>
      <c r="PB14" s="395"/>
      <c r="PC14" s="395"/>
      <c r="PD14" s="395"/>
      <c r="PE14" s="395"/>
      <c r="PF14" s="395"/>
      <c r="PG14" s="395"/>
      <c r="PH14" s="395"/>
      <c r="PI14" s="395"/>
      <c r="PJ14" s="395"/>
      <c r="PK14" s="395"/>
      <c r="PL14" s="395"/>
      <c r="PM14" s="395"/>
      <c r="PN14" s="395"/>
      <c r="PO14" s="395"/>
      <c r="PP14" s="395"/>
      <c r="PQ14" s="395"/>
      <c r="PR14" s="395"/>
      <c r="PS14" s="395"/>
      <c r="PT14" s="395"/>
      <c r="PU14" s="395"/>
      <c r="PV14" s="395"/>
      <c r="PW14" s="395"/>
      <c r="PX14" s="395"/>
      <c r="PY14" s="395"/>
      <c r="PZ14" s="395"/>
      <c r="QA14" s="395"/>
      <c r="QB14" s="395"/>
      <c r="QC14" s="395"/>
      <c r="QD14" s="395"/>
      <c r="QE14" s="395"/>
      <c r="QF14" s="395"/>
      <c r="QG14" s="395"/>
      <c r="QH14" s="395"/>
      <c r="QI14" s="395"/>
      <c r="QJ14" s="395"/>
      <c r="QK14" s="395"/>
      <c r="QL14" s="395"/>
      <c r="QM14" s="395"/>
      <c r="QN14" s="395"/>
      <c r="QO14" s="395"/>
      <c r="QP14" s="395"/>
      <c r="QQ14" s="395"/>
      <c r="QR14" s="395"/>
      <c r="QS14" s="395"/>
      <c r="QT14" s="395"/>
      <c r="QU14" s="395"/>
      <c r="QV14" s="395"/>
      <c r="QW14" s="395"/>
      <c r="QX14" s="395"/>
      <c r="QY14" s="395"/>
      <c r="QZ14" s="395"/>
      <c r="RA14" s="395"/>
      <c r="RB14" s="395"/>
      <c r="RC14" s="395"/>
      <c r="RD14" s="395"/>
      <c r="RE14" s="395"/>
      <c r="RF14" s="395"/>
      <c r="RG14" s="395"/>
      <c r="RH14" s="395"/>
      <c r="RI14" s="395"/>
      <c r="RJ14" s="395"/>
      <c r="RK14" s="395"/>
      <c r="RL14" s="395"/>
      <c r="RM14" s="395"/>
      <c r="RN14" s="395"/>
      <c r="RO14" s="395"/>
      <c r="RP14" s="395"/>
      <c r="RQ14" s="395"/>
      <c r="RR14" s="395"/>
      <c r="RS14" s="395"/>
      <c r="RT14" s="395"/>
      <c r="RU14" s="395"/>
      <c r="RV14" s="395"/>
      <c r="RW14" s="395"/>
      <c r="RX14" s="395"/>
      <c r="RY14" s="395"/>
      <c r="RZ14" s="395"/>
      <c r="SA14" s="395"/>
      <c r="SB14" s="395"/>
      <c r="SC14" s="395"/>
      <c r="SD14" s="395"/>
      <c r="SE14" s="395"/>
      <c r="SF14" s="395"/>
      <c r="SG14" s="395"/>
      <c r="SH14" s="395"/>
      <c r="SI14" s="395"/>
      <c r="SJ14" s="395"/>
      <c r="SK14" s="395"/>
      <c r="SL14" s="395"/>
      <c r="SM14" s="395"/>
      <c r="SN14" s="395"/>
      <c r="SO14" s="395"/>
      <c r="SP14" s="395"/>
      <c r="SQ14" s="395"/>
      <c r="SR14" s="395"/>
      <c r="SS14" s="395"/>
      <c r="ST14" s="395"/>
      <c r="SU14" s="395"/>
      <c r="SV14" s="395"/>
      <c r="SW14" s="395"/>
      <c r="SX14" s="395"/>
      <c r="SY14" s="395"/>
      <c r="SZ14" s="395"/>
      <c r="TA14" s="395"/>
      <c r="TB14" s="395"/>
      <c r="TC14" s="395"/>
      <c r="TD14" s="395"/>
      <c r="TE14" s="395"/>
      <c r="TF14" s="395"/>
      <c r="TG14" s="395"/>
      <c r="TH14" s="395"/>
      <c r="TI14" s="395"/>
      <c r="TJ14" s="395"/>
      <c r="TK14" s="395"/>
      <c r="TL14" s="395"/>
      <c r="TM14" s="395"/>
      <c r="TN14" s="395"/>
      <c r="TO14" s="395"/>
      <c r="TP14" s="395"/>
      <c r="TQ14" s="395"/>
      <c r="TR14" s="395"/>
      <c r="TS14" s="395"/>
      <c r="TT14" s="395"/>
      <c r="TU14" s="395"/>
      <c r="TV14" s="395"/>
      <c r="TW14" s="395"/>
      <c r="TX14" s="395"/>
      <c r="TY14" s="395"/>
      <c r="TZ14" s="395"/>
      <c r="UA14" s="395"/>
      <c r="UB14" s="395"/>
      <c r="UC14" s="395"/>
      <c r="UD14" s="395"/>
      <c r="UE14" s="395"/>
      <c r="UF14" s="395"/>
      <c r="UG14" s="395"/>
      <c r="UH14" s="395"/>
      <c r="UI14" s="395"/>
      <c r="UJ14" s="395"/>
      <c r="UK14" s="395"/>
      <c r="UL14" s="395"/>
      <c r="UM14" s="395"/>
      <c r="UN14" s="395"/>
      <c r="UO14" s="395"/>
      <c r="UP14" s="395"/>
      <c r="UQ14" s="395"/>
      <c r="UR14" s="395"/>
      <c r="US14" s="395"/>
      <c r="UT14" s="395"/>
      <c r="UU14" s="395"/>
      <c r="UV14" s="395"/>
      <c r="UW14" s="395"/>
      <c r="UX14" s="395"/>
      <c r="UY14" s="395"/>
      <c r="UZ14" s="395"/>
      <c r="VA14" s="395"/>
      <c r="VB14" s="395"/>
      <c r="VC14" s="395"/>
      <c r="VD14" s="395"/>
      <c r="VE14" s="395"/>
      <c r="VF14" s="395"/>
      <c r="VG14" s="395"/>
      <c r="VH14" s="395"/>
      <c r="VI14" s="395"/>
      <c r="VJ14" s="395"/>
      <c r="VK14" s="395"/>
      <c r="VL14" s="395"/>
      <c r="VM14" s="395"/>
      <c r="VN14" s="395"/>
      <c r="VO14" s="395"/>
      <c r="VP14" s="395"/>
      <c r="VQ14" s="395"/>
      <c r="VR14" s="395"/>
      <c r="VS14" s="395"/>
      <c r="VT14" s="395"/>
      <c r="VU14" s="395"/>
      <c r="VV14" s="395"/>
      <c r="VW14" s="395"/>
      <c r="VX14" s="395"/>
      <c r="VY14" s="395"/>
      <c r="VZ14" s="395"/>
      <c r="WA14" s="395"/>
      <c r="WB14" s="395"/>
      <c r="WC14" s="395"/>
      <c r="WD14" s="395"/>
      <c r="WE14" s="395"/>
      <c r="WF14" s="395"/>
      <c r="WG14" s="395"/>
      <c r="WH14" s="395"/>
      <c r="WI14" s="395"/>
      <c r="WJ14" s="395"/>
      <c r="WK14" s="395"/>
      <c r="WL14" s="395"/>
      <c r="WM14" s="395"/>
      <c r="WN14" s="395"/>
      <c r="WO14" s="395"/>
      <c r="WP14" s="395"/>
      <c r="WQ14" s="395"/>
      <c r="WR14" s="395"/>
      <c r="WS14" s="395"/>
      <c r="WT14" s="395"/>
      <c r="WU14" s="395"/>
      <c r="WV14" s="395"/>
      <c r="WW14" s="395"/>
      <c r="WX14" s="395"/>
      <c r="WY14" s="395"/>
      <c r="WZ14" s="395"/>
      <c r="XA14" s="395"/>
      <c r="XB14" s="395"/>
      <c r="XC14" s="395"/>
      <c r="XD14" s="395"/>
      <c r="XE14" s="395"/>
      <c r="XF14" s="395"/>
      <c r="XG14" s="395"/>
      <c r="XH14" s="395"/>
      <c r="XI14" s="395"/>
      <c r="XJ14" s="395"/>
      <c r="XK14" s="395"/>
      <c r="XL14" s="395"/>
      <c r="XM14" s="395"/>
      <c r="XN14" s="395"/>
      <c r="XO14" s="395"/>
      <c r="XP14" s="395"/>
      <c r="XQ14" s="395"/>
      <c r="XR14" s="395"/>
      <c r="XS14" s="395"/>
      <c r="XT14" s="395"/>
      <c r="XU14" s="395"/>
      <c r="XV14" s="395"/>
      <c r="XW14" s="395"/>
      <c r="XX14" s="395"/>
      <c r="XY14" s="395"/>
      <c r="XZ14" s="395"/>
      <c r="YA14" s="395"/>
      <c r="YB14" s="395"/>
      <c r="YC14" s="395"/>
      <c r="YD14" s="395"/>
      <c r="YE14" s="395"/>
      <c r="YF14" s="395"/>
      <c r="YG14" s="395"/>
      <c r="YH14" s="395"/>
      <c r="YI14" s="395"/>
      <c r="YJ14" s="395"/>
      <c r="YK14" s="395"/>
      <c r="YL14" s="395"/>
      <c r="YM14" s="395"/>
      <c r="YN14" s="395"/>
      <c r="YO14" s="395"/>
      <c r="YP14" s="395"/>
      <c r="YQ14" s="395"/>
      <c r="YR14" s="395"/>
      <c r="YS14" s="395"/>
      <c r="YT14" s="395"/>
      <c r="YU14" s="395"/>
      <c r="YV14" s="395"/>
      <c r="YW14" s="395"/>
      <c r="YX14" s="395"/>
      <c r="YY14" s="395"/>
      <c r="YZ14" s="395"/>
      <c r="ZA14" s="395"/>
      <c r="ZB14" s="395"/>
      <c r="ZC14" s="395"/>
      <c r="ZD14" s="395"/>
      <c r="ZE14" s="395"/>
      <c r="ZF14" s="395"/>
      <c r="ZG14" s="395"/>
      <c r="ZH14" s="395"/>
      <c r="ZI14" s="395"/>
      <c r="ZJ14" s="395"/>
      <c r="ZK14" s="395"/>
      <c r="ZL14" s="395"/>
      <c r="ZM14" s="395"/>
      <c r="ZN14" s="395"/>
      <c r="ZO14" s="395"/>
      <c r="ZP14" s="395"/>
      <c r="ZQ14" s="395"/>
      <c r="ZR14" s="395"/>
      <c r="ZS14" s="395"/>
      <c r="ZT14" s="395"/>
      <c r="ZU14" s="395"/>
      <c r="ZV14" s="395"/>
      <c r="ZW14" s="395"/>
      <c r="ZX14" s="395"/>
      <c r="ZY14" s="395"/>
      <c r="ZZ14" s="395"/>
      <c r="AAA14" s="395"/>
      <c r="AAB14" s="395"/>
      <c r="AAC14" s="395"/>
      <c r="AAD14" s="395"/>
      <c r="AAE14" s="395"/>
      <c r="AAF14" s="395"/>
      <c r="AAG14" s="395"/>
      <c r="AAH14" s="395"/>
      <c r="AAI14" s="395"/>
      <c r="AAJ14" s="395"/>
      <c r="AAK14" s="395"/>
      <c r="AAL14" s="395"/>
      <c r="AAM14" s="395"/>
      <c r="AAN14" s="395"/>
      <c r="AAO14" s="395"/>
      <c r="AAP14" s="395"/>
      <c r="AAQ14" s="395"/>
      <c r="AAR14" s="395"/>
      <c r="AAS14" s="395"/>
      <c r="AAT14" s="395"/>
      <c r="AAU14" s="395"/>
      <c r="AAV14" s="395"/>
      <c r="AAW14" s="395"/>
      <c r="AAX14" s="395"/>
      <c r="AAY14" s="395"/>
      <c r="AAZ14" s="395"/>
      <c r="ABA14" s="395"/>
      <c r="ABB14" s="395"/>
      <c r="ABC14" s="395"/>
      <c r="ABD14" s="395"/>
      <c r="ABE14" s="395"/>
      <c r="ABF14" s="395"/>
      <c r="ABG14" s="395"/>
      <c r="ABH14" s="395"/>
      <c r="ABI14" s="395"/>
      <c r="ABJ14" s="395"/>
      <c r="ABK14" s="395"/>
      <c r="ABL14" s="395"/>
      <c r="ABM14" s="395"/>
      <c r="ABN14" s="395"/>
      <c r="ABO14" s="395"/>
      <c r="ABP14" s="395"/>
      <c r="ABQ14" s="395"/>
      <c r="ABR14" s="395"/>
      <c r="ABS14" s="395"/>
      <c r="ABT14" s="395"/>
      <c r="ABU14" s="395"/>
      <c r="ABV14" s="395"/>
      <c r="ABW14" s="395"/>
      <c r="ABX14" s="395"/>
      <c r="ABY14" s="395"/>
      <c r="ABZ14" s="395"/>
      <c r="ACA14" s="395"/>
      <c r="ACB14" s="395"/>
      <c r="ACC14" s="395"/>
      <c r="ACD14" s="395"/>
      <c r="ACE14" s="395"/>
      <c r="ACF14" s="395"/>
      <c r="ACG14" s="395"/>
    </row>
    <row r="15" spans="1:761" s="289" customFormat="1" ht="15" customHeight="1" x14ac:dyDescent="0.2">
      <c r="A15" s="460" t="s">
        <v>6</v>
      </c>
      <c r="B15" s="466">
        <v>33221</v>
      </c>
      <c r="C15" s="466">
        <v>44454</v>
      </c>
      <c r="D15" s="466">
        <v>0</v>
      </c>
      <c r="E15" s="466">
        <v>0</v>
      </c>
      <c r="F15" s="466">
        <v>904</v>
      </c>
      <c r="G15" s="466">
        <f>F15*2</f>
        <v>1808</v>
      </c>
      <c r="H15" s="467">
        <v>3301</v>
      </c>
      <c r="I15" s="467">
        <f>H15*2</f>
        <v>6602</v>
      </c>
      <c r="J15" s="466">
        <v>0</v>
      </c>
      <c r="K15" s="466">
        <v>0</v>
      </c>
      <c r="L15" s="468" t="s">
        <v>24</v>
      </c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  <c r="IX15" s="395"/>
      <c r="IY15" s="395"/>
      <c r="IZ15" s="395"/>
      <c r="JA15" s="395"/>
      <c r="JB15" s="395"/>
      <c r="JC15" s="395"/>
      <c r="JD15" s="395"/>
      <c r="JE15" s="395"/>
      <c r="JF15" s="395"/>
      <c r="JG15" s="395"/>
      <c r="JH15" s="395"/>
      <c r="JI15" s="395"/>
      <c r="JJ15" s="395"/>
      <c r="JK15" s="395"/>
      <c r="JL15" s="395"/>
      <c r="JM15" s="395"/>
      <c r="JN15" s="395"/>
      <c r="JO15" s="395"/>
      <c r="JP15" s="395"/>
      <c r="JQ15" s="395"/>
      <c r="JR15" s="395"/>
      <c r="JS15" s="395"/>
      <c r="JT15" s="395"/>
      <c r="JU15" s="395"/>
      <c r="JV15" s="395"/>
      <c r="JW15" s="395"/>
      <c r="JX15" s="395"/>
      <c r="JY15" s="395"/>
      <c r="JZ15" s="395"/>
      <c r="KA15" s="395"/>
      <c r="KB15" s="395"/>
      <c r="KC15" s="395"/>
      <c r="KD15" s="395"/>
      <c r="KE15" s="395"/>
      <c r="KF15" s="395"/>
      <c r="KG15" s="395"/>
      <c r="KH15" s="395"/>
      <c r="KI15" s="395"/>
      <c r="KJ15" s="395"/>
      <c r="KK15" s="395"/>
      <c r="KL15" s="395"/>
      <c r="KM15" s="395"/>
      <c r="KN15" s="395"/>
      <c r="KO15" s="395"/>
      <c r="KP15" s="395"/>
      <c r="KQ15" s="395"/>
      <c r="KR15" s="395"/>
      <c r="KS15" s="395"/>
      <c r="KT15" s="395"/>
      <c r="KU15" s="395"/>
      <c r="KV15" s="395"/>
      <c r="KW15" s="395"/>
      <c r="KX15" s="395"/>
      <c r="KY15" s="395"/>
      <c r="KZ15" s="395"/>
      <c r="LA15" s="395"/>
      <c r="LB15" s="395"/>
      <c r="LC15" s="395"/>
      <c r="LD15" s="395"/>
      <c r="LE15" s="395"/>
      <c r="LF15" s="395"/>
      <c r="LG15" s="395"/>
      <c r="LH15" s="395"/>
      <c r="LI15" s="395"/>
      <c r="LJ15" s="395"/>
      <c r="LK15" s="395"/>
      <c r="LL15" s="395"/>
      <c r="LM15" s="395"/>
      <c r="LN15" s="395"/>
      <c r="LO15" s="395"/>
      <c r="LP15" s="395"/>
      <c r="LQ15" s="395"/>
      <c r="LR15" s="395"/>
      <c r="LS15" s="395"/>
      <c r="LT15" s="395"/>
      <c r="LU15" s="395"/>
      <c r="LV15" s="395"/>
      <c r="LW15" s="395"/>
      <c r="LX15" s="395"/>
      <c r="LY15" s="395"/>
      <c r="LZ15" s="395"/>
      <c r="MA15" s="395"/>
      <c r="MB15" s="395"/>
      <c r="MC15" s="395"/>
      <c r="MD15" s="395"/>
      <c r="ME15" s="395"/>
      <c r="MF15" s="395"/>
      <c r="MG15" s="395"/>
      <c r="MH15" s="395"/>
      <c r="MI15" s="395"/>
      <c r="MJ15" s="395"/>
      <c r="MK15" s="395"/>
      <c r="ML15" s="395"/>
      <c r="MM15" s="395"/>
      <c r="MN15" s="395"/>
      <c r="MO15" s="395"/>
      <c r="MP15" s="395"/>
      <c r="MQ15" s="395"/>
      <c r="MR15" s="395"/>
      <c r="MS15" s="395"/>
      <c r="MT15" s="395"/>
      <c r="MU15" s="395"/>
      <c r="MV15" s="395"/>
      <c r="MW15" s="395"/>
      <c r="MX15" s="395"/>
      <c r="MY15" s="395"/>
      <c r="MZ15" s="395"/>
      <c r="NA15" s="395"/>
      <c r="NB15" s="395"/>
      <c r="NC15" s="395"/>
      <c r="ND15" s="395"/>
      <c r="NE15" s="395"/>
      <c r="NF15" s="395"/>
      <c r="NG15" s="395"/>
      <c r="NH15" s="395"/>
      <c r="NI15" s="395"/>
      <c r="NJ15" s="395"/>
      <c r="NK15" s="395"/>
      <c r="NL15" s="395"/>
      <c r="NM15" s="395"/>
      <c r="NN15" s="395"/>
      <c r="NO15" s="395"/>
      <c r="NP15" s="395"/>
      <c r="NQ15" s="395"/>
      <c r="NR15" s="395"/>
      <c r="NS15" s="395"/>
      <c r="NT15" s="395"/>
      <c r="NU15" s="395"/>
      <c r="NV15" s="395"/>
      <c r="NW15" s="395"/>
      <c r="NX15" s="395"/>
      <c r="NY15" s="395"/>
      <c r="NZ15" s="395"/>
      <c r="OA15" s="395"/>
      <c r="OB15" s="395"/>
      <c r="OC15" s="395"/>
      <c r="OD15" s="395"/>
      <c r="OE15" s="395"/>
      <c r="OF15" s="395"/>
      <c r="OG15" s="395"/>
      <c r="OH15" s="395"/>
      <c r="OI15" s="395"/>
      <c r="OJ15" s="395"/>
      <c r="OK15" s="395"/>
      <c r="OL15" s="395"/>
      <c r="OM15" s="395"/>
      <c r="ON15" s="395"/>
      <c r="OO15" s="395"/>
      <c r="OP15" s="395"/>
      <c r="OQ15" s="395"/>
      <c r="OR15" s="395"/>
      <c r="OS15" s="395"/>
      <c r="OT15" s="395"/>
      <c r="OU15" s="395"/>
      <c r="OV15" s="395"/>
      <c r="OW15" s="395"/>
      <c r="OX15" s="395"/>
      <c r="OY15" s="395"/>
      <c r="OZ15" s="395"/>
      <c r="PA15" s="395"/>
      <c r="PB15" s="395"/>
      <c r="PC15" s="395"/>
      <c r="PD15" s="395"/>
      <c r="PE15" s="395"/>
      <c r="PF15" s="395"/>
      <c r="PG15" s="395"/>
      <c r="PH15" s="395"/>
      <c r="PI15" s="395"/>
      <c r="PJ15" s="395"/>
      <c r="PK15" s="395"/>
      <c r="PL15" s="395"/>
      <c r="PM15" s="395"/>
      <c r="PN15" s="395"/>
      <c r="PO15" s="395"/>
      <c r="PP15" s="395"/>
      <c r="PQ15" s="395"/>
      <c r="PR15" s="395"/>
      <c r="PS15" s="395"/>
      <c r="PT15" s="395"/>
      <c r="PU15" s="395"/>
      <c r="PV15" s="395"/>
      <c r="PW15" s="395"/>
      <c r="PX15" s="395"/>
      <c r="PY15" s="395"/>
      <c r="PZ15" s="395"/>
      <c r="QA15" s="395"/>
      <c r="QB15" s="395"/>
      <c r="QC15" s="395"/>
      <c r="QD15" s="395"/>
      <c r="QE15" s="395"/>
      <c r="QF15" s="395"/>
      <c r="QG15" s="395"/>
      <c r="QH15" s="395"/>
      <c r="QI15" s="395"/>
      <c r="QJ15" s="395"/>
      <c r="QK15" s="395"/>
      <c r="QL15" s="395"/>
      <c r="QM15" s="395"/>
      <c r="QN15" s="395"/>
      <c r="QO15" s="395"/>
      <c r="QP15" s="395"/>
      <c r="QQ15" s="395"/>
      <c r="QR15" s="395"/>
      <c r="QS15" s="395"/>
      <c r="QT15" s="395"/>
      <c r="QU15" s="395"/>
      <c r="QV15" s="395"/>
      <c r="QW15" s="395"/>
      <c r="QX15" s="395"/>
      <c r="QY15" s="395"/>
      <c r="QZ15" s="395"/>
      <c r="RA15" s="395"/>
      <c r="RB15" s="395"/>
      <c r="RC15" s="395"/>
      <c r="RD15" s="395"/>
      <c r="RE15" s="395"/>
      <c r="RF15" s="395"/>
      <c r="RG15" s="395"/>
      <c r="RH15" s="395"/>
      <c r="RI15" s="395"/>
      <c r="RJ15" s="395"/>
      <c r="RK15" s="395"/>
      <c r="RL15" s="395"/>
      <c r="RM15" s="395"/>
      <c r="RN15" s="395"/>
      <c r="RO15" s="395"/>
      <c r="RP15" s="395"/>
      <c r="RQ15" s="395"/>
      <c r="RR15" s="395"/>
      <c r="RS15" s="395"/>
      <c r="RT15" s="395"/>
      <c r="RU15" s="395"/>
      <c r="RV15" s="395"/>
      <c r="RW15" s="395"/>
      <c r="RX15" s="395"/>
      <c r="RY15" s="395"/>
      <c r="RZ15" s="395"/>
      <c r="SA15" s="395"/>
      <c r="SB15" s="395"/>
      <c r="SC15" s="395"/>
      <c r="SD15" s="395"/>
      <c r="SE15" s="395"/>
      <c r="SF15" s="395"/>
      <c r="SG15" s="395"/>
      <c r="SH15" s="395"/>
      <c r="SI15" s="395"/>
      <c r="SJ15" s="395"/>
      <c r="SK15" s="395"/>
      <c r="SL15" s="395"/>
      <c r="SM15" s="395"/>
      <c r="SN15" s="395"/>
      <c r="SO15" s="395"/>
      <c r="SP15" s="395"/>
      <c r="SQ15" s="395"/>
      <c r="SR15" s="395"/>
      <c r="SS15" s="395"/>
      <c r="ST15" s="395"/>
      <c r="SU15" s="395"/>
      <c r="SV15" s="395"/>
      <c r="SW15" s="395"/>
      <c r="SX15" s="395"/>
      <c r="SY15" s="395"/>
      <c r="SZ15" s="395"/>
      <c r="TA15" s="395"/>
      <c r="TB15" s="395"/>
      <c r="TC15" s="395"/>
      <c r="TD15" s="395"/>
      <c r="TE15" s="395"/>
      <c r="TF15" s="395"/>
      <c r="TG15" s="395"/>
      <c r="TH15" s="395"/>
      <c r="TI15" s="395"/>
      <c r="TJ15" s="395"/>
      <c r="TK15" s="395"/>
      <c r="TL15" s="395"/>
      <c r="TM15" s="395"/>
      <c r="TN15" s="395"/>
      <c r="TO15" s="395"/>
      <c r="TP15" s="395"/>
      <c r="TQ15" s="395"/>
      <c r="TR15" s="395"/>
      <c r="TS15" s="395"/>
      <c r="TT15" s="395"/>
      <c r="TU15" s="395"/>
      <c r="TV15" s="395"/>
      <c r="TW15" s="395"/>
      <c r="TX15" s="395"/>
      <c r="TY15" s="395"/>
      <c r="TZ15" s="395"/>
      <c r="UA15" s="395"/>
      <c r="UB15" s="395"/>
      <c r="UC15" s="395"/>
      <c r="UD15" s="395"/>
      <c r="UE15" s="395"/>
      <c r="UF15" s="395"/>
      <c r="UG15" s="395"/>
      <c r="UH15" s="395"/>
      <c r="UI15" s="395"/>
      <c r="UJ15" s="395"/>
      <c r="UK15" s="395"/>
      <c r="UL15" s="395"/>
      <c r="UM15" s="395"/>
      <c r="UN15" s="395"/>
      <c r="UO15" s="395"/>
      <c r="UP15" s="395"/>
      <c r="UQ15" s="395"/>
      <c r="UR15" s="395"/>
      <c r="US15" s="395"/>
      <c r="UT15" s="395"/>
      <c r="UU15" s="395"/>
      <c r="UV15" s="395"/>
      <c r="UW15" s="395"/>
      <c r="UX15" s="395"/>
      <c r="UY15" s="395"/>
      <c r="UZ15" s="395"/>
      <c r="VA15" s="395"/>
      <c r="VB15" s="395"/>
      <c r="VC15" s="395"/>
      <c r="VD15" s="395"/>
      <c r="VE15" s="395"/>
      <c r="VF15" s="395"/>
      <c r="VG15" s="395"/>
      <c r="VH15" s="395"/>
      <c r="VI15" s="395"/>
      <c r="VJ15" s="395"/>
      <c r="VK15" s="395"/>
      <c r="VL15" s="395"/>
      <c r="VM15" s="395"/>
      <c r="VN15" s="395"/>
      <c r="VO15" s="395"/>
      <c r="VP15" s="395"/>
      <c r="VQ15" s="395"/>
      <c r="VR15" s="395"/>
      <c r="VS15" s="395"/>
      <c r="VT15" s="395"/>
      <c r="VU15" s="395"/>
      <c r="VV15" s="395"/>
      <c r="VW15" s="395"/>
      <c r="VX15" s="395"/>
      <c r="VY15" s="395"/>
      <c r="VZ15" s="395"/>
      <c r="WA15" s="395"/>
      <c r="WB15" s="395"/>
      <c r="WC15" s="395"/>
      <c r="WD15" s="395"/>
      <c r="WE15" s="395"/>
      <c r="WF15" s="395"/>
      <c r="WG15" s="395"/>
      <c r="WH15" s="395"/>
      <c r="WI15" s="395"/>
      <c r="WJ15" s="395"/>
      <c r="WK15" s="395"/>
      <c r="WL15" s="395"/>
      <c r="WM15" s="395"/>
      <c r="WN15" s="395"/>
      <c r="WO15" s="395"/>
      <c r="WP15" s="395"/>
      <c r="WQ15" s="395"/>
      <c r="WR15" s="395"/>
      <c r="WS15" s="395"/>
      <c r="WT15" s="395"/>
      <c r="WU15" s="395"/>
      <c r="WV15" s="395"/>
      <c r="WW15" s="395"/>
      <c r="WX15" s="395"/>
      <c r="WY15" s="395"/>
      <c r="WZ15" s="395"/>
      <c r="XA15" s="395"/>
      <c r="XB15" s="395"/>
      <c r="XC15" s="395"/>
      <c r="XD15" s="395"/>
      <c r="XE15" s="395"/>
      <c r="XF15" s="395"/>
      <c r="XG15" s="395"/>
      <c r="XH15" s="395"/>
      <c r="XI15" s="395"/>
      <c r="XJ15" s="395"/>
      <c r="XK15" s="395"/>
      <c r="XL15" s="395"/>
      <c r="XM15" s="395"/>
      <c r="XN15" s="395"/>
      <c r="XO15" s="395"/>
      <c r="XP15" s="395"/>
      <c r="XQ15" s="395"/>
      <c r="XR15" s="395"/>
      <c r="XS15" s="395"/>
      <c r="XT15" s="395"/>
      <c r="XU15" s="395"/>
      <c r="XV15" s="395"/>
      <c r="XW15" s="395"/>
      <c r="XX15" s="395"/>
      <c r="XY15" s="395"/>
      <c r="XZ15" s="395"/>
      <c r="YA15" s="395"/>
      <c r="YB15" s="395"/>
      <c r="YC15" s="395"/>
      <c r="YD15" s="395"/>
      <c r="YE15" s="395"/>
      <c r="YF15" s="395"/>
      <c r="YG15" s="395"/>
      <c r="YH15" s="395"/>
      <c r="YI15" s="395"/>
      <c r="YJ15" s="395"/>
      <c r="YK15" s="395"/>
      <c r="YL15" s="395"/>
      <c r="YM15" s="395"/>
      <c r="YN15" s="395"/>
      <c r="YO15" s="395"/>
      <c r="YP15" s="395"/>
      <c r="YQ15" s="395"/>
      <c r="YR15" s="395"/>
      <c r="YS15" s="395"/>
      <c r="YT15" s="395"/>
      <c r="YU15" s="395"/>
      <c r="YV15" s="395"/>
      <c r="YW15" s="395"/>
      <c r="YX15" s="395"/>
      <c r="YY15" s="395"/>
      <c r="YZ15" s="395"/>
      <c r="ZA15" s="395"/>
      <c r="ZB15" s="395"/>
      <c r="ZC15" s="395"/>
      <c r="ZD15" s="395"/>
      <c r="ZE15" s="395"/>
      <c r="ZF15" s="395"/>
      <c r="ZG15" s="395"/>
      <c r="ZH15" s="395"/>
      <c r="ZI15" s="395"/>
      <c r="ZJ15" s="395"/>
      <c r="ZK15" s="395"/>
      <c r="ZL15" s="395"/>
      <c r="ZM15" s="395"/>
      <c r="ZN15" s="395"/>
      <c r="ZO15" s="395"/>
      <c r="ZP15" s="395"/>
      <c r="ZQ15" s="395"/>
      <c r="ZR15" s="395"/>
      <c r="ZS15" s="395"/>
      <c r="ZT15" s="395"/>
      <c r="ZU15" s="395"/>
      <c r="ZV15" s="395"/>
      <c r="ZW15" s="395"/>
      <c r="ZX15" s="395"/>
      <c r="ZY15" s="395"/>
      <c r="ZZ15" s="395"/>
      <c r="AAA15" s="395"/>
      <c r="AAB15" s="395"/>
      <c r="AAC15" s="395"/>
      <c r="AAD15" s="395"/>
      <c r="AAE15" s="395"/>
      <c r="AAF15" s="395"/>
      <c r="AAG15" s="395"/>
      <c r="AAH15" s="395"/>
      <c r="AAI15" s="395"/>
      <c r="AAJ15" s="395"/>
      <c r="AAK15" s="395"/>
      <c r="AAL15" s="395"/>
      <c r="AAM15" s="395"/>
      <c r="AAN15" s="395"/>
      <c r="AAO15" s="395"/>
      <c r="AAP15" s="395"/>
      <c r="AAQ15" s="395"/>
      <c r="AAR15" s="395"/>
      <c r="AAS15" s="395"/>
      <c r="AAT15" s="395"/>
      <c r="AAU15" s="395"/>
      <c r="AAV15" s="395"/>
      <c r="AAW15" s="395"/>
      <c r="AAX15" s="395"/>
      <c r="AAY15" s="395"/>
      <c r="AAZ15" s="395"/>
      <c r="ABA15" s="395"/>
      <c r="ABB15" s="395"/>
      <c r="ABC15" s="395"/>
      <c r="ABD15" s="395"/>
      <c r="ABE15" s="395"/>
      <c r="ABF15" s="395"/>
      <c r="ABG15" s="395"/>
      <c r="ABH15" s="395"/>
      <c r="ABI15" s="395"/>
      <c r="ABJ15" s="395"/>
      <c r="ABK15" s="395"/>
      <c r="ABL15" s="395"/>
      <c r="ABM15" s="395"/>
      <c r="ABN15" s="395"/>
      <c r="ABO15" s="395"/>
      <c r="ABP15" s="395"/>
      <c r="ABQ15" s="395"/>
      <c r="ABR15" s="395"/>
      <c r="ABS15" s="395"/>
      <c r="ABT15" s="395"/>
      <c r="ABU15" s="395"/>
      <c r="ABV15" s="395"/>
      <c r="ABW15" s="395"/>
      <c r="ABX15" s="395"/>
      <c r="ABY15" s="395"/>
      <c r="ABZ15" s="395"/>
      <c r="ACA15" s="395"/>
      <c r="ACB15" s="395"/>
      <c r="ACC15" s="395"/>
      <c r="ACD15" s="395"/>
      <c r="ACE15" s="395"/>
      <c r="ACF15" s="395"/>
      <c r="ACG15" s="395"/>
    </row>
    <row r="16" spans="1:761" s="289" customFormat="1" ht="15" customHeight="1" x14ac:dyDescent="0.2">
      <c r="A16" s="542" t="s">
        <v>11</v>
      </c>
      <c r="B16" s="549">
        <v>0</v>
      </c>
      <c r="C16" s="549">
        <v>0</v>
      </c>
      <c r="D16" s="549">
        <v>419</v>
      </c>
      <c r="E16" s="549">
        <v>8723</v>
      </c>
      <c r="F16" s="549">
        <v>1635</v>
      </c>
      <c r="G16" s="549">
        <f>F16*2</f>
        <v>3270</v>
      </c>
      <c r="H16" s="550">
        <v>2476</v>
      </c>
      <c r="I16" s="550">
        <f>H16*4</f>
        <v>9904</v>
      </c>
      <c r="J16" s="549">
        <v>2287</v>
      </c>
      <c r="K16" s="549">
        <f>J16*23</f>
        <v>52601</v>
      </c>
      <c r="L16" s="551" t="s">
        <v>21</v>
      </c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  <c r="IX16" s="395"/>
      <c r="IY16" s="395"/>
      <c r="IZ16" s="395"/>
      <c r="JA16" s="395"/>
      <c r="JB16" s="395"/>
      <c r="JC16" s="395"/>
      <c r="JD16" s="395"/>
      <c r="JE16" s="395"/>
      <c r="JF16" s="395"/>
      <c r="JG16" s="395"/>
      <c r="JH16" s="395"/>
      <c r="JI16" s="395"/>
      <c r="JJ16" s="395"/>
      <c r="JK16" s="395"/>
      <c r="JL16" s="395"/>
      <c r="JM16" s="395"/>
      <c r="JN16" s="395"/>
      <c r="JO16" s="395"/>
      <c r="JP16" s="395"/>
      <c r="JQ16" s="395"/>
      <c r="JR16" s="395"/>
      <c r="JS16" s="395"/>
      <c r="JT16" s="395"/>
      <c r="JU16" s="395"/>
      <c r="JV16" s="395"/>
      <c r="JW16" s="395"/>
      <c r="JX16" s="395"/>
      <c r="JY16" s="395"/>
      <c r="JZ16" s="395"/>
      <c r="KA16" s="395"/>
      <c r="KB16" s="395"/>
      <c r="KC16" s="395"/>
      <c r="KD16" s="395"/>
      <c r="KE16" s="395"/>
      <c r="KF16" s="395"/>
      <c r="KG16" s="395"/>
      <c r="KH16" s="395"/>
      <c r="KI16" s="395"/>
      <c r="KJ16" s="395"/>
      <c r="KK16" s="395"/>
      <c r="KL16" s="395"/>
      <c r="KM16" s="395"/>
      <c r="KN16" s="395"/>
      <c r="KO16" s="395"/>
      <c r="KP16" s="395"/>
      <c r="KQ16" s="395"/>
      <c r="KR16" s="395"/>
      <c r="KS16" s="395"/>
      <c r="KT16" s="395"/>
      <c r="KU16" s="395"/>
      <c r="KV16" s="395"/>
      <c r="KW16" s="395"/>
      <c r="KX16" s="395"/>
      <c r="KY16" s="395"/>
      <c r="KZ16" s="395"/>
      <c r="LA16" s="395"/>
      <c r="LB16" s="395"/>
      <c r="LC16" s="395"/>
      <c r="LD16" s="395"/>
      <c r="LE16" s="395"/>
      <c r="LF16" s="395"/>
      <c r="LG16" s="395"/>
      <c r="LH16" s="395"/>
      <c r="LI16" s="395"/>
      <c r="LJ16" s="395"/>
      <c r="LK16" s="395"/>
      <c r="LL16" s="395"/>
      <c r="LM16" s="395"/>
      <c r="LN16" s="395"/>
      <c r="LO16" s="395"/>
      <c r="LP16" s="395"/>
      <c r="LQ16" s="395"/>
      <c r="LR16" s="395"/>
      <c r="LS16" s="395"/>
      <c r="LT16" s="395"/>
      <c r="LU16" s="395"/>
      <c r="LV16" s="395"/>
      <c r="LW16" s="395"/>
      <c r="LX16" s="395"/>
      <c r="LY16" s="395"/>
      <c r="LZ16" s="395"/>
      <c r="MA16" s="395"/>
      <c r="MB16" s="395"/>
      <c r="MC16" s="395"/>
      <c r="MD16" s="395"/>
      <c r="ME16" s="395"/>
      <c r="MF16" s="395"/>
      <c r="MG16" s="395"/>
      <c r="MH16" s="395"/>
      <c r="MI16" s="395"/>
      <c r="MJ16" s="395"/>
      <c r="MK16" s="395"/>
      <c r="ML16" s="395"/>
      <c r="MM16" s="395"/>
      <c r="MN16" s="395"/>
      <c r="MO16" s="395"/>
      <c r="MP16" s="395"/>
      <c r="MQ16" s="395"/>
      <c r="MR16" s="395"/>
      <c r="MS16" s="395"/>
      <c r="MT16" s="395"/>
      <c r="MU16" s="395"/>
      <c r="MV16" s="395"/>
      <c r="MW16" s="395"/>
      <c r="MX16" s="395"/>
      <c r="MY16" s="395"/>
      <c r="MZ16" s="395"/>
      <c r="NA16" s="395"/>
      <c r="NB16" s="395"/>
      <c r="NC16" s="395"/>
      <c r="ND16" s="395"/>
      <c r="NE16" s="395"/>
      <c r="NF16" s="395"/>
      <c r="NG16" s="395"/>
      <c r="NH16" s="395"/>
      <c r="NI16" s="395"/>
      <c r="NJ16" s="395"/>
      <c r="NK16" s="395"/>
      <c r="NL16" s="395"/>
      <c r="NM16" s="395"/>
      <c r="NN16" s="395"/>
      <c r="NO16" s="395"/>
      <c r="NP16" s="395"/>
      <c r="NQ16" s="395"/>
      <c r="NR16" s="395"/>
      <c r="NS16" s="395"/>
      <c r="NT16" s="395"/>
      <c r="NU16" s="395"/>
      <c r="NV16" s="395"/>
      <c r="NW16" s="395"/>
      <c r="NX16" s="395"/>
      <c r="NY16" s="395"/>
      <c r="NZ16" s="395"/>
      <c r="OA16" s="395"/>
      <c r="OB16" s="395"/>
      <c r="OC16" s="395"/>
      <c r="OD16" s="395"/>
      <c r="OE16" s="395"/>
      <c r="OF16" s="395"/>
      <c r="OG16" s="395"/>
      <c r="OH16" s="395"/>
      <c r="OI16" s="395"/>
      <c r="OJ16" s="395"/>
      <c r="OK16" s="395"/>
      <c r="OL16" s="395"/>
      <c r="OM16" s="395"/>
      <c r="ON16" s="395"/>
      <c r="OO16" s="395"/>
      <c r="OP16" s="395"/>
      <c r="OQ16" s="395"/>
      <c r="OR16" s="395"/>
      <c r="OS16" s="395"/>
      <c r="OT16" s="395"/>
      <c r="OU16" s="395"/>
      <c r="OV16" s="395"/>
      <c r="OW16" s="395"/>
      <c r="OX16" s="395"/>
      <c r="OY16" s="395"/>
      <c r="OZ16" s="395"/>
      <c r="PA16" s="395"/>
      <c r="PB16" s="395"/>
      <c r="PC16" s="395"/>
      <c r="PD16" s="395"/>
      <c r="PE16" s="395"/>
      <c r="PF16" s="395"/>
      <c r="PG16" s="395"/>
      <c r="PH16" s="395"/>
      <c r="PI16" s="395"/>
      <c r="PJ16" s="395"/>
      <c r="PK16" s="395"/>
      <c r="PL16" s="395"/>
      <c r="PM16" s="395"/>
      <c r="PN16" s="395"/>
      <c r="PO16" s="395"/>
      <c r="PP16" s="395"/>
      <c r="PQ16" s="395"/>
      <c r="PR16" s="395"/>
      <c r="PS16" s="395"/>
      <c r="PT16" s="395"/>
      <c r="PU16" s="395"/>
      <c r="PV16" s="395"/>
      <c r="PW16" s="395"/>
      <c r="PX16" s="395"/>
      <c r="PY16" s="395"/>
      <c r="PZ16" s="395"/>
      <c r="QA16" s="395"/>
      <c r="QB16" s="395"/>
      <c r="QC16" s="395"/>
      <c r="QD16" s="395"/>
      <c r="QE16" s="395"/>
      <c r="QF16" s="395"/>
      <c r="QG16" s="395"/>
      <c r="QH16" s="395"/>
      <c r="QI16" s="395"/>
      <c r="QJ16" s="395"/>
      <c r="QK16" s="395"/>
      <c r="QL16" s="395"/>
      <c r="QM16" s="395"/>
      <c r="QN16" s="395"/>
      <c r="QO16" s="395"/>
      <c r="QP16" s="395"/>
      <c r="QQ16" s="395"/>
      <c r="QR16" s="395"/>
      <c r="QS16" s="395"/>
      <c r="QT16" s="395"/>
      <c r="QU16" s="395"/>
      <c r="QV16" s="395"/>
      <c r="QW16" s="395"/>
      <c r="QX16" s="395"/>
      <c r="QY16" s="395"/>
      <c r="QZ16" s="395"/>
      <c r="RA16" s="395"/>
      <c r="RB16" s="395"/>
      <c r="RC16" s="395"/>
      <c r="RD16" s="395"/>
      <c r="RE16" s="395"/>
      <c r="RF16" s="395"/>
      <c r="RG16" s="395"/>
      <c r="RH16" s="395"/>
      <c r="RI16" s="395"/>
      <c r="RJ16" s="395"/>
      <c r="RK16" s="395"/>
      <c r="RL16" s="395"/>
      <c r="RM16" s="395"/>
      <c r="RN16" s="395"/>
      <c r="RO16" s="395"/>
      <c r="RP16" s="395"/>
      <c r="RQ16" s="395"/>
      <c r="RR16" s="395"/>
      <c r="RS16" s="395"/>
      <c r="RT16" s="395"/>
      <c r="RU16" s="395"/>
      <c r="RV16" s="395"/>
      <c r="RW16" s="395"/>
      <c r="RX16" s="395"/>
      <c r="RY16" s="395"/>
      <c r="RZ16" s="395"/>
      <c r="SA16" s="395"/>
      <c r="SB16" s="395"/>
      <c r="SC16" s="395"/>
      <c r="SD16" s="395"/>
      <c r="SE16" s="395"/>
      <c r="SF16" s="395"/>
      <c r="SG16" s="395"/>
      <c r="SH16" s="395"/>
      <c r="SI16" s="395"/>
      <c r="SJ16" s="395"/>
      <c r="SK16" s="395"/>
      <c r="SL16" s="395"/>
      <c r="SM16" s="395"/>
      <c r="SN16" s="395"/>
      <c r="SO16" s="395"/>
      <c r="SP16" s="395"/>
      <c r="SQ16" s="395"/>
      <c r="SR16" s="395"/>
      <c r="SS16" s="395"/>
      <c r="ST16" s="395"/>
      <c r="SU16" s="395"/>
      <c r="SV16" s="395"/>
      <c r="SW16" s="395"/>
      <c r="SX16" s="395"/>
      <c r="SY16" s="395"/>
      <c r="SZ16" s="395"/>
      <c r="TA16" s="395"/>
      <c r="TB16" s="395"/>
      <c r="TC16" s="395"/>
      <c r="TD16" s="395"/>
      <c r="TE16" s="395"/>
      <c r="TF16" s="395"/>
      <c r="TG16" s="395"/>
      <c r="TH16" s="395"/>
      <c r="TI16" s="395"/>
      <c r="TJ16" s="395"/>
      <c r="TK16" s="395"/>
      <c r="TL16" s="395"/>
      <c r="TM16" s="395"/>
      <c r="TN16" s="395"/>
      <c r="TO16" s="395"/>
      <c r="TP16" s="395"/>
      <c r="TQ16" s="395"/>
      <c r="TR16" s="395"/>
      <c r="TS16" s="395"/>
      <c r="TT16" s="395"/>
      <c r="TU16" s="395"/>
      <c r="TV16" s="395"/>
      <c r="TW16" s="395"/>
      <c r="TX16" s="395"/>
      <c r="TY16" s="395"/>
      <c r="TZ16" s="395"/>
      <c r="UA16" s="395"/>
      <c r="UB16" s="395"/>
      <c r="UC16" s="395"/>
      <c r="UD16" s="395"/>
      <c r="UE16" s="395"/>
      <c r="UF16" s="395"/>
      <c r="UG16" s="395"/>
      <c r="UH16" s="395"/>
      <c r="UI16" s="395"/>
      <c r="UJ16" s="395"/>
      <c r="UK16" s="395"/>
      <c r="UL16" s="395"/>
      <c r="UM16" s="395"/>
      <c r="UN16" s="395"/>
      <c r="UO16" s="395"/>
      <c r="UP16" s="395"/>
      <c r="UQ16" s="395"/>
      <c r="UR16" s="395"/>
      <c r="US16" s="395"/>
      <c r="UT16" s="395"/>
      <c r="UU16" s="395"/>
      <c r="UV16" s="395"/>
      <c r="UW16" s="395"/>
      <c r="UX16" s="395"/>
      <c r="UY16" s="395"/>
      <c r="UZ16" s="395"/>
      <c r="VA16" s="395"/>
      <c r="VB16" s="395"/>
      <c r="VC16" s="395"/>
      <c r="VD16" s="395"/>
      <c r="VE16" s="395"/>
      <c r="VF16" s="395"/>
      <c r="VG16" s="395"/>
      <c r="VH16" s="395"/>
      <c r="VI16" s="395"/>
      <c r="VJ16" s="395"/>
      <c r="VK16" s="395"/>
      <c r="VL16" s="395"/>
      <c r="VM16" s="395"/>
      <c r="VN16" s="395"/>
      <c r="VO16" s="395"/>
      <c r="VP16" s="395"/>
      <c r="VQ16" s="395"/>
      <c r="VR16" s="395"/>
      <c r="VS16" s="395"/>
      <c r="VT16" s="395"/>
      <c r="VU16" s="395"/>
      <c r="VV16" s="395"/>
      <c r="VW16" s="395"/>
      <c r="VX16" s="395"/>
      <c r="VY16" s="395"/>
      <c r="VZ16" s="395"/>
      <c r="WA16" s="395"/>
      <c r="WB16" s="395"/>
      <c r="WC16" s="395"/>
      <c r="WD16" s="395"/>
      <c r="WE16" s="395"/>
      <c r="WF16" s="395"/>
      <c r="WG16" s="395"/>
      <c r="WH16" s="395"/>
      <c r="WI16" s="395"/>
      <c r="WJ16" s="395"/>
      <c r="WK16" s="395"/>
      <c r="WL16" s="395"/>
      <c r="WM16" s="395"/>
      <c r="WN16" s="395"/>
      <c r="WO16" s="395"/>
      <c r="WP16" s="395"/>
      <c r="WQ16" s="395"/>
      <c r="WR16" s="395"/>
      <c r="WS16" s="395"/>
      <c r="WT16" s="395"/>
      <c r="WU16" s="395"/>
      <c r="WV16" s="395"/>
      <c r="WW16" s="395"/>
      <c r="WX16" s="395"/>
      <c r="WY16" s="395"/>
      <c r="WZ16" s="395"/>
      <c r="XA16" s="395"/>
      <c r="XB16" s="395"/>
      <c r="XC16" s="395"/>
      <c r="XD16" s="395"/>
      <c r="XE16" s="395"/>
      <c r="XF16" s="395"/>
      <c r="XG16" s="395"/>
      <c r="XH16" s="395"/>
      <c r="XI16" s="395"/>
      <c r="XJ16" s="395"/>
      <c r="XK16" s="395"/>
      <c r="XL16" s="395"/>
      <c r="XM16" s="395"/>
      <c r="XN16" s="395"/>
      <c r="XO16" s="395"/>
      <c r="XP16" s="395"/>
      <c r="XQ16" s="395"/>
      <c r="XR16" s="395"/>
      <c r="XS16" s="395"/>
      <c r="XT16" s="395"/>
      <c r="XU16" s="395"/>
      <c r="XV16" s="395"/>
      <c r="XW16" s="395"/>
      <c r="XX16" s="395"/>
      <c r="XY16" s="395"/>
      <c r="XZ16" s="395"/>
      <c r="YA16" s="395"/>
      <c r="YB16" s="395"/>
      <c r="YC16" s="395"/>
      <c r="YD16" s="395"/>
      <c r="YE16" s="395"/>
      <c r="YF16" s="395"/>
      <c r="YG16" s="395"/>
      <c r="YH16" s="395"/>
      <c r="YI16" s="395"/>
      <c r="YJ16" s="395"/>
      <c r="YK16" s="395"/>
      <c r="YL16" s="395"/>
      <c r="YM16" s="395"/>
      <c r="YN16" s="395"/>
      <c r="YO16" s="395"/>
      <c r="YP16" s="395"/>
      <c r="YQ16" s="395"/>
      <c r="YR16" s="395"/>
      <c r="YS16" s="395"/>
      <c r="YT16" s="395"/>
      <c r="YU16" s="395"/>
      <c r="YV16" s="395"/>
      <c r="YW16" s="395"/>
      <c r="YX16" s="395"/>
      <c r="YY16" s="395"/>
      <c r="YZ16" s="395"/>
      <c r="ZA16" s="395"/>
      <c r="ZB16" s="395"/>
      <c r="ZC16" s="395"/>
      <c r="ZD16" s="395"/>
      <c r="ZE16" s="395"/>
      <c r="ZF16" s="395"/>
      <c r="ZG16" s="395"/>
      <c r="ZH16" s="395"/>
      <c r="ZI16" s="395"/>
      <c r="ZJ16" s="395"/>
      <c r="ZK16" s="395"/>
      <c r="ZL16" s="395"/>
      <c r="ZM16" s="395"/>
      <c r="ZN16" s="395"/>
      <c r="ZO16" s="395"/>
      <c r="ZP16" s="395"/>
      <c r="ZQ16" s="395"/>
      <c r="ZR16" s="395"/>
      <c r="ZS16" s="395"/>
      <c r="ZT16" s="395"/>
      <c r="ZU16" s="395"/>
      <c r="ZV16" s="395"/>
      <c r="ZW16" s="395"/>
      <c r="ZX16" s="395"/>
      <c r="ZY16" s="395"/>
      <c r="ZZ16" s="395"/>
      <c r="AAA16" s="395"/>
      <c r="AAB16" s="395"/>
      <c r="AAC16" s="395"/>
      <c r="AAD16" s="395"/>
      <c r="AAE16" s="395"/>
      <c r="AAF16" s="395"/>
      <c r="AAG16" s="395"/>
      <c r="AAH16" s="395"/>
      <c r="AAI16" s="395"/>
      <c r="AAJ16" s="395"/>
      <c r="AAK16" s="395"/>
      <c r="AAL16" s="395"/>
      <c r="AAM16" s="395"/>
      <c r="AAN16" s="395"/>
      <c r="AAO16" s="395"/>
      <c r="AAP16" s="395"/>
      <c r="AAQ16" s="395"/>
      <c r="AAR16" s="395"/>
      <c r="AAS16" s="395"/>
      <c r="AAT16" s="395"/>
      <c r="AAU16" s="395"/>
      <c r="AAV16" s="395"/>
      <c r="AAW16" s="395"/>
      <c r="AAX16" s="395"/>
      <c r="AAY16" s="395"/>
      <c r="AAZ16" s="395"/>
      <c r="ABA16" s="395"/>
      <c r="ABB16" s="395"/>
      <c r="ABC16" s="395"/>
      <c r="ABD16" s="395"/>
      <c r="ABE16" s="395"/>
      <c r="ABF16" s="395"/>
      <c r="ABG16" s="395"/>
      <c r="ABH16" s="395"/>
      <c r="ABI16" s="395"/>
      <c r="ABJ16" s="395"/>
      <c r="ABK16" s="395"/>
      <c r="ABL16" s="395"/>
      <c r="ABM16" s="395"/>
      <c r="ABN16" s="395"/>
      <c r="ABO16" s="395"/>
      <c r="ABP16" s="395"/>
      <c r="ABQ16" s="395"/>
      <c r="ABR16" s="395"/>
      <c r="ABS16" s="395"/>
      <c r="ABT16" s="395"/>
      <c r="ABU16" s="395"/>
      <c r="ABV16" s="395"/>
      <c r="ABW16" s="395"/>
      <c r="ABX16" s="395"/>
      <c r="ABY16" s="395"/>
      <c r="ABZ16" s="395"/>
      <c r="ACA16" s="395"/>
      <c r="ACB16" s="395"/>
      <c r="ACC16" s="395"/>
      <c r="ACD16" s="395"/>
      <c r="ACE16" s="395"/>
      <c r="ACF16" s="395"/>
      <c r="ACG16" s="395"/>
    </row>
    <row r="17" spans="1:761" s="289" customFormat="1" ht="15" customHeight="1" x14ac:dyDescent="0.2">
      <c r="A17" s="460" t="s">
        <v>2</v>
      </c>
      <c r="B17" s="466">
        <v>16372</v>
      </c>
      <c r="C17" s="466">
        <v>32712</v>
      </c>
      <c r="D17" s="466">
        <v>119</v>
      </c>
      <c r="E17" s="466">
        <f>D17*13</f>
        <v>1547</v>
      </c>
      <c r="F17" s="466">
        <v>834</v>
      </c>
      <c r="G17" s="466">
        <f>F17*3</f>
        <v>2502</v>
      </c>
      <c r="H17" s="467">
        <v>1820</v>
      </c>
      <c r="I17" s="467">
        <f>H17*2</f>
        <v>3640</v>
      </c>
      <c r="J17" s="466">
        <v>0</v>
      </c>
      <c r="K17" s="466">
        <v>0</v>
      </c>
      <c r="L17" s="468" t="s">
        <v>14</v>
      </c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  <c r="IX17" s="395"/>
      <c r="IY17" s="395"/>
      <c r="IZ17" s="395"/>
      <c r="JA17" s="395"/>
      <c r="JB17" s="395"/>
      <c r="JC17" s="395"/>
      <c r="JD17" s="395"/>
      <c r="JE17" s="395"/>
      <c r="JF17" s="395"/>
      <c r="JG17" s="395"/>
      <c r="JH17" s="395"/>
      <c r="JI17" s="395"/>
      <c r="JJ17" s="395"/>
      <c r="JK17" s="395"/>
      <c r="JL17" s="395"/>
      <c r="JM17" s="395"/>
      <c r="JN17" s="395"/>
      <c r="JO17" s="395"/>
      <c r="JP17" s="395"/>
      <c r="JQ17" s="395"/>
      <c r="JR17" s="395"/>
      <c r="JS17" s="395"/>
      <c r="JT17" s="395"/>
      <c r="JU17" s="395"/>
      <c r="JV17" s="395"/>
      <c r="JW17" s="395"/>
      <c r="JX17" s="395"/>
      <c r="JY17" s="395"/>
      <c r="JZ17" s="395"/>
      <c r="KA17" s="395"/>
      <c r="KB17" s="395"/>
      <c r="KC17" s="395"/>
      <c r="KD17" s="395"/>
      <c r="KE17" s="395"/>
      <c r="KF17" s="395"/>
      <c r="KG17" s="395"/>
      <c r="KH17" s="395"/>
      <c r="KI17" s="395"/>
      <c r="KJ17" s="395"/>
      <c r="KK17" s="395"/>
      <c r="KL17" s="395"/>
      <c r="KM17" s="395"/>
      <c r="KN17" s="395"/>
      <c r="KO17" s="395"/>
      <c r="KP17" s="395"/>
      <c r="KQ17" s="395"/>
      <c r="KR17" s="395"/>
      <c r="KS17" s="395"/>
      <c r="KT17" s="395"/>
      <c r="KU17" s="395"/>
      <c r="KV17" s="395"/>
      <c r="KW17" s="395"/>
      <c r="KX17" s="395"/>
      <c r="KY17" s="395"/>
      <c r="KZ17" s="395"/>
      <c r="LA17" s="395"/>
      <c r="LB17" s="395"/>
      <c r="LC17" s="395"/>
      <c r="LD17" s="395"/>
      <c r="LE17" s="395"/>
      <c r="LF17" s="395"/>
      <c r="LG17" s="395"/>
      <c r="LH17" s="395"/>
      <c r="LI17" s="395"/>
      <c r="LJ17" s="395"/>
      <c r="LK17" s="395"/>
      <c r="LL17" s="395"/>
      <c r="LM17" s="395"/>
      <c r="LN17" s="395"/>
      <c r="LO17" s="395"/>
      <c r="LP17" s="395"/>
      <c r="LQ17" s="395"/>
      <c r="LR17" s="395"/>
      <c r="LS17" s="395"/>
      <c r="LT17" s="395"/>
      <c r="LU17" s="395"/>
      <c r="LV17" s="395"/>
      <c r="LW17" s="395"/>
      <c r="LX17" s="395"/>
      <c r="LY17" s="395"/>
      <c r="LZ17" s="395"/>
      <c r="MA17" s="395"/>
      <c r="MB17" s="395"/>
      <c r="MC17" s="395"/>
      <c r="MD17" s="395"/>
      <c r="ME17" s="395"/>
      <c r="MF17" s="395"/>
      <c r="MG17" s="395"/>
      <c r="MH17" s="395"/>
      <c r="MI17" s="395"/>
      <c r="MJ17" s="395"/>
      <c r="MK17" s="395"/>
      <c r="ML17" s="395"/>
      <c r="MM17" s="395"/>
      <c r="MN17" s="395"/>
      <c r="MO17" s="395"/>
      <c r="MP17" s="395"/>
      <c r="MQ17" s="395"/>
      <c r="MR17" s="395"/>
      <c r="MS17" s="395"/>
      <c r="MT17" s="395"/>
      <c r="MU17" s="395"/>
      <c r="MV17" s="395"/>
      <c r="MW17" s="395"/>
      <c r="MX17" s="395"/>
      <c r="MY17" s="395"/>
      <c r="MZ17" s="395"/>
      <c r="NA17" s="395"/>
      <c r="NB17" s="395"/>
      <c r="NC17" s="395"/>
      <c r="ND17" s="395"/>
      <c r="NE17" s="395"/>
      <c r="NF17" s="395"/>
      <c r="NG17" s="395"/>
      <c r="NH17" s="395"/>
      <c r="NI17" s="395"/>
      <c r="NJ17" s="395"/>
      <c r="NK17" s="395"/>
      <c r="NL17" s="395"/>
      <c r="NM17" s="395"/>
      <c r="NN17" s="395"/>
      <c r="NO17" s="395"/>
      <c r="NP17" s="395"/>
      <c r="NQ17" s="395"/>
      <c r="NR17" s="395"/>
      <c r="NS17" s="395"/>
      <c r="NT17" s="395"/>
      <c r="NU17" s="395"/>
      <c r="NV17" s="395"/>
      <c r="NW17" s="395"/>
      <c r="NX17" s="395"/>
      <c r="NY17" s="395"/>
      <c r="NZ17" s="395"/>
      <c r="OA17" s="395"/>
      <c r="OB17" s="395"/>
      <c r="OC17" s="395"/>
      <c r="OD17" s="395"/>
      <c r="OE17" s="395"/>
      <c r="OF17" s="395"/>
      <c r="OG17" s="395"/>
      <c r="OH17" s="395"/>
      <c r="OI17" s="395"/>
      <c r="OJ17" s="395"/>
      <c r="OK17" s="395"/>
      <c r="OL17" s="395"/>
      <c r="OM17" s="395"/>
      <c r="ON17" s="395"/>
      <c r="OO17" s="395"/>
      <c r="OP17" s="395"/>
      <c r="OQ17" s="395"/>
      <c r="OR17" s="395"/>
      <c r="OS17" s="395"/>
      <c r="OT17" s="395"/>
      <c r="OU17" s="395"/>
      <c r="OV17" s="395"/>
      <c r="OW17" s="395"/>
      <c r="OX17" s="395"/>
      <c r="OY17" s="395"/>
      <c r="OZ17" s="395"/>
      <c r="PA17" s="395"/>
      <c r="PB17" s="395"/>
      <c r="PC17" s="395"/>
      <c r="PD17" s="395"/>
      <c r="PE17" s="395"/>
      <c r="PF17" s="395"/>
      <c r="PG17" s="395"/>
      <c r="PH17" s="395"/>
      <c r="PI17" s="395"/>
      <c r="PJ17" s="395"/>
      <c r="PK17" s="395"/>
      <c r="PL17" s="395"/>
      <c r="PM17" s="395"/>
      <c r="PN17" s="395"/>
      <c r="PO17" s="395"/>
      <c r="PP17" s="395"/>
      <c r="PQ17" s="395"/>
      <c r="PR17" s="395"/>
      <c r="PS17" s="395"/>
      <c r="PT17" s="395"/>
      <c r="PU17" s="395"/>
      <c r="PV17" s="395"/>
      <c r="PW17" s="395"/>
      <c r="PX17" s="395"/>
      <c r="PY17" s="395"/>
      <c r="PZ17" s="395"/>
      <c r="QA17" s="395"/>
      <c r="QB17" s="395"/>
      <c r="QC17" s="395"/>
      <c r="QD17" s="395"/>
      <c r="QE17" s="395"/>
      <c r="QF17" s="395"/>
      <c r="QG17" s="395"/>
      <c r="QH17" s="395"/>
      <c r="QI17" s="395"/>
      <c r="QJ17" s="395"/>
      <c r="QK17" s="395"/>
      <c r="QL17" s="395"/>
      <c r="QM17" s="395"/>
      <c r="QN17" s="395"/>
      <c r="QO17" s="395"/>
      <c r="QP17" s="395"/>
      <c r="QQ17" s="395"/>
      <c r="QR17" s="395"/>
      <c r="QS17" s="395"/>
      <c r="QT17" s="395"/>
      <c r="QU17" s="395"/>
      <c r="QV17" s="395"/>
      <c r="QW17" s="395"/>
      <c r="QX17" s="395"/>
      <c r="QY17" s="395"/>
      <c r="QZ17" s="395"/>
      <c r="RA17" s="395"/>
      <c r="RB17" s="395"/>
      <c r="RC17" s="395"/>
      <c r="RD17" s="395"/>
      <c r="RE17" s="395"/>
      <c r="RF17" s="395"/>
      <c r="RG17" s="395"/>
      <c r="RH17" s="395"/>
      <c r="RI17" s="395"/>
      <c r="RJ17" s="395"/>
      <c r="RK17" s="395"/>
      <c r="RL17" s="395"/>
      <c r="RM17" s="395"/>
      <c r="RN17" s="395"/>
      <c r="RO17" s="395"/>
      <c r="RP17" s="395"/>
      <c r="RQ17" s="395"/>
      <c r="RR17" s="395"/>
      <c r="RS17" s="395"/>
      <c r="RT17" s="395"/>
      <c r="RU17" s="395"/>
      <c r="RV17" s="395"/>
      <c r="RW17" s="395"/>
      <c r="RX17" s="395"/>
      <c r="RY17" s="395"/>
      <c r="RZ17" s="395"/>
      <c r="SA17" s="395"/>
      <c r="SB17" s="395"/>
      <c r="SC17" s="395"/>
      <c r="SD17" s="395"/>
      <c r="SE17" s="395"/>
      <c r="SF17" s="395"/>
      <c r="SG17" s="395"/>
      <c r="SH17" s="395"/>
      <c r="SI17" s="395"/>
      <c r="SJ17" s="395"/>
      <c r="SK17" s="395"/>
      <c r="SL17" s="395"/>
      <c r="SM17" s="395"/>
      <c r="SN17" s="395"/>
      <c r="SO17" s="395"/>
      <c r="SP17" s="395"/>
      <c r="SQ17" s="395"/>
      <c r="SR17" s="395"/>
      <c r="SS17" s="395"/>
      <c r="ST17" s="395"/>
      <c r="SU17" s="395"/>
      <c r="SV17" s="395"/>
      <c r="SW17" s="395"/>
      <c r="SX17" s="395"/>
      <c r="SY17" s="395"/>
      <c r="SZ17" s="395"/>
      <c r="TA17" s="395"/>
      <c r="TB17" s="395"/>
      <c r="TC17" s="395"/>
      <c r="TD17" s="395"/>
      <c r="TE17" s="395"/>
      <c r="TF17" s="395"/>
      <c r="TG17" s="395"/>
      <c r="TH17" s="395"/>
      <c r="TI17" s="395"/>
      <c r="TJ17" s="395"/>
      <c r="TK17" s="395"/>
      <c r="TL17" s="395"/>
      <c r="TM17" s="395"/>
      <c r="TN17" s="395"/>
      <c r="TO17" s="395"/>
      <c r="TP17" s="395"/>
      <c r="TQ17" s="395"/>
      <c r="TR17" s="395"/>
      <c r="TS17" s="395"/>
      <c r="TT17" s="395"/>
      <c r="TU17" s="395"/>
      <c r="TV17" s="395"/>
      <c r="TW17" s="395"/>
      <c r="TX17" s="395"/>
      <c r="TY17" s="395"/>
      <c r="TZ17" s="395"/>
      <c r="UA17" s="395"/>
      <c r="UB17" s="395"/>
      <c r="UC17" s="395"/>
      <c r="UD17" s="395"/>
      <c r="UE17" s="395"/>
      <c r="UF17" s="395"/>
      <c r="UG17" s="395"/>
      <c r="UH17" s="395"/>
      <c r="UI17" s="395"/>
      <c r="UJ17" s="395"/>
      <c r="UK17" s="395"/>
      <c r="UL17" s="395"/>
      <c r="UM17" s="395"/>
      <c r="UN17" s="395"/>
      <c r="UO17" s="395"/>
      <c r="UP17" s="395"/>
      <c r="UQ17" s="395"/>
      <c r="UR17" s="395"/>
      <c r="US17" s="395"/>
      <c r="UT17" s="395"/>
      <c r="UU17" s="395"/>
      <c r="UV17" s="395"/>
      <c r="UW17" s="395"/>
      <c r="UX17" s="395"/>
      <c r="UY17" s="395"/>
      <c r="UZ17" s="395"/>
      <c r="VA17" s="395"/>
      <c r="VB17" s="395"/>
      <c r="VC17" s="395"/>
      <c r="VD17" s="395"/>
      <c r="VE17" s="395"/>
      <c r="VF17" s="395"/>
      <c r="VG17" s="395"/>
      <c r="VH17" s="395"/>
      <c r="VI17" s="395"/>
      <c r="VJ17" s="395"/>
      <c r="VK17" s="395"/>
      <c r="VL17" s="395"/>
      <c r="VM17" s="395"/>
      <c r="VN17" s="395"/>
      <c r="VO17" s="395"/>
      <c r="VP17" s="395"/>
      <c r="VQ17" s="395"/>
      <c r="VR17" s="395"/>
      <c r="VS17" s="395"/>
      <c r="VT17" s="395"/>
      <c r="VU17" s="395"/>
      <c r="VV17" s="395"/>
      <c r="VW17" s="395"/>
      <c r="VX17" s="395"/>
      <c r="VY17" s="395"/>
      <c r="VZ17" s="395"/>
      <c r="WA17" s="395"/>
      <c r="WB17" s="395"/>
      <c r="WC17" s="395"/>
      <c r="WD17" s="395"/>
      <c r="WE17" s="395"/>
      <c r="WF17" s="395"/>
      <c r="WG17" s="395"/>
      <c r="WH17" s="395"/>
      <c r="WI17" s="395"/>
      <c r="WJ17" s="395"/>
      <c r="WK17" s="395"/>
      <c r="WL17" s="395"/>
      <c r="WM17" s="395"/>
      <c r="WN17" s="395"/>
      <c r="WO17" s="395"/>
      <c r="WP17" s="395"/>
      <c r="WQ17" s="395"/>
      <c r="WR17" s="395"/>
      <c r="WS17" s="395"/>
      <c r="WT17" s="395"/>
      <c r="WU17" s="395"/>
      <c r="WV17" s="395"/>
      <c r="WW17" s="395"/>
      <c r="WX17" s="395"/>
      <c r="WY17" s="395"/>
      <c r="WZ17" s="395"/>
      <c r="XA17" s="395"/>
      <c r="XB17" s="395"/>
      <c r="XC17" s="395"/>
      <c r="XD17" s="395"/>
      <c r="XE17" s="395"/>
      <c r="XF17" s="395"/>
      <c r="XG17" s="395"/>
      <c r="XH17" s="395"/>
      <c r="XI17" s="395"/>
      <c r="XJ17" s="395"/>
      <c r="XK17" s="395"/>
      <c r="XL17" s="395"/>
      <c r="XM17" s="395"/>
      <c r="XN17" s="395"/>
      <c r="XO17" s="395"/>
      <c r="XP17" s="395"/>
      <c r="XQ17" s="395"/>
      <c r="XR17" s="395"/>
      <c r="XS17" s="395"/>
      <c r="XT17" s="395"/>
      <c r="XU17" s="395"/>
      <c r="XV17" s="395"/>
      <c r="XW17" s="395"/>
      <c r="XX17" s="395"/>
      <c r="XY17" s="395"/>
      <c r="XZ17" s="395"/>
      <c r="YA17" s="395"/>
      <c r="YB17" s="395"/>
      <c r="YC17" s="395"/>
      <c r="YD17" s="395"/>
      <c r="YE17" s="395"/>
      <c r="YF17" s="395"/>
      <c r="YG17" s="395"/>
      <c r="YH17" s="395"/>
      <c r="YI17" s="395"/>
      <c r="YJ17" s="395"/>
      <c r="YK17" s="395"/>
      <c r="YL17" s="395"/>
      <c r="YM17" s="395"/>
      <c r="YN17" s="395"/>
      <c r="YO17" s="395"/>
      <c r="YP17" s="395"/>
      <c r="YQ17" s="395"/>
      <c r="YR17" s="395"/>
      <c r="YS17" s="395"/>
      <c r="YT17" s="395"/>
      <c r="YU17" s="395"/>
      <c r="YV17" s="395"/>
      <c r="YW17" s="395"/>
      <c r="YX17" s="395"/>
      <c r="YY17" s="395"/>
      <c r="YZ17" s="395"/>
      <c r="ZA17" s="395"/>
      <c r="ZB17" s="395"/>
      <c r="ZC17" s="395"/>
      <c r="ZD17" s="395"/>
      <c r="ZE17" s="395"/>
      <c r="ZF17" s="395"/>
      <c r="ZG17" s="395"/>
      <c r="ZH17" s="395"/>
      <c r="ZI17" s="395"/>
      <c r="ZJ17" s="395"/>
      <c r="ZK17" s="395"/>
      <c r="ZL17" s="395"/>
      <c r="ZM17" s="395"/>
      <c r="ZN17" s="395"/>
      <c r="ZO17" s="395"/>
      <c r="ZP17" s="395"/>
      <c r="ZQ17" s="395"/>
      <c r="ZR17" s="395"/>
      <c r="ZS17" s="395"/>
      <c r="ZT17" s="395"/>
      <c r="ZU17" s="395"/>
      <c r="ZV17" s="395"/>
      <c r="ZW17" s="395"/>
      <c r="ZX17" s="395"/>
      <c r="ZY17" s="395"/>
      <c r="ZZ17" s="395"/>
      <c r="AAA17" s="395"/>
      <c r="AAB17" s="395"/>
      <c r="AAC17" s="395"/>
      <c r="AAD17" s="395"/>
      <c r="AAE17" s="395"/>
      <c r="AAF17" s="395"/>
      <c r="AAG17" s="395"/>
      <c r="AAH17" s="395"/>
      <c r="AAI17" s="395"/>
      <c r="AAJ17" s="395"/>
      <c r="AAK17" s="395"/>
      <c r="AAL17" s="395"/>
      <c r="AAM17" s="395"/>
      <c r="AAN17" s="395"/>
      <c r="AAO17" s="395"/>
      <c r="AAP17" s="395"/>
      <c r="AAQ17" s="395"/>
      <c r="AAR17" s="395"/>
      <c r="AAS17" s="395"/>
      <c r="AAT17" s="395"/>
      <c r="AAU17" s="395"/>
      <c r="AAV17" s="395"/>
      <c r="AAW17" s="395"/>
      <c r="AAX17" s="395"/>
      <c r="AAY17" s="395"/>
      <c r="AAZ17" s="395"/>
      <c r="ABA17" s="395"/>
      <c r="ABB17" s="395"/>
      <c r="ABC17" s="395"/>
      <c r="ABD17" s="395"/>
      <c r="ABE17" s="395"/>
      <c r="ABF17" s="395"/>
      <c r="ABG17" s="395"/>
      <c r="ABH17" s="395"/>
      <c r="ABI17" s="395"/>
      <c r="ABJ17" s="395"/>
      <c r="ABK17" s="395"/>
      <c r="ABL17" s="395"/>
      <c r="ABM17" s="395"/>
      <c r="ABN17" s="395"/>
      <c r="ABO17" s="395"/>
      <c r="ABP17" s="395"/>
      <c r="ABQ17" s="395"/>
      <c r="ABR17" s="395"/>
      <c r="ABS17" s="395"/>
      <c r="ABT17" s="395"/>
      <c r="ABU17" s="395"/>
      <c r="ABV17" s="395"/>
      <c r="ABW17" s="395"/>
      <c r="ABX17" s="395"/>
      <c r="ABY17" s="395"/>
      <c r="ABZ17" s="395"/>
      <c r="ACA17" s="395"/>
      <c r="ACB17" s="395"/>
      <c r="ACC17" s="395"/>
      <c r="ACD17" s="395"/>
      <c r="ACE17" s="395"/>
      <c r="ACF17" s="395"/>
      <c r="ACG17" s="395"/>
    </row>
    <row r="18" spans="1:761" s="289" customFormat="1" ht="15" customHeight="1" x14ac:dyDescent="0.2">
      <c r="A18" s="542" t="s">
        <v>7</v>
      </c>
      <c r="B18" s="549">
        <v>19140</v>
      </c>
      <c r="C18" s="549">
        <v>70244</v>
      </c>
      <c r="D18" s="549">
        <v>3351</v>
      </c>
      <c r="E18" s="549">
        <v>49766</v>
      </c>
      <c r="F18" s="549">
        <v>2103</v>
      </c>
      <c r="G18" s="549">
        <f>F18*3</f>
        <v>6309</v>
      </c>
      <c r="H18" s="550">
        <v>22270</v>
      </c>
      <c r="I18" s="550">
        <f>H18*4</f>
        <v>89080</v>
      </c>
      <c r="J18" s="549">
        <v>0</v>
      </c>
      <c r="K18" s="549">
        <v>0</v>
      </c>
      <c r="L18" s="551" t="s">
        <v>17</v>
      </c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  <c r="IX18" s="395"/>
      <c r="IY18" s="395"/>
      <c r="IZ18" s="395"/>
      <c r="JA18" s="395"/>
      <c r="JB18" s="395"/>
      <c r="JC18" s="395"/>
      <c r="JD18" s="395"/>
      <c r="JE18" s="395"/>
      <c r="JF18" s="395"/>
      <c r="JG18" s="395"/>
      <c r="JH18" s="395"/>
      <c r="JI18" s="395"/>
      <c r="JJ18" s="395"/>
      <c r="JK18" s="395"/>
      <c r="JL18" s="395"/>
      <c r="JM18" s="395"/>
      <c r="JN18" s="395"/>
      <c r="JO18" s="395"/>
      <c r="JP18" s="395"/>
      <c r="JQ18" s="395"/>
      <c r="JR18" s="395"/>
      <c r="JS18" s="395"/>
      <c r="JT18" s="395"/>
      <c r="JU18" s="395"/>
      <c r="JV18" s="395"/>
      <c r="JW18" s="395"/>
      <c r="JX18" s="395"/>
      <c r="JY18" s="395"/>
      <c r="JZ18" s="395"/>
      <c r="KA18" s="395"/>
      <c r="KB18" s="395"/>
      <c r="KC18" s="395"/>
      <c r="KD18" s="395"/>
      <c r="KE18" s="395"/>
      <c r="KF18" s="395"/>
      <c r="KG18" s="395"/>
      <c r="KH18" s="395"/>
      <c r="KI18" s="395"/>
      <c r="KJ18" s="395"/>
      <c r="KK18" s="395"/>
      <c r="KL18" s="395"/>
      <c r="KM18" s="395"/>
      <c r="KN18" s="395"/>
      <c r="KO18" s="395"/>
      <c r="KP18" s="395"/>
      <c r="KQ18" s="395"/>
      <c r="KR18" s="395"/>
      <c r="KS18" s="395"/>
      <c r="KT18" s="395"/>
      <c r="KU18" s="395"/>
      <c r="KV18" s="395"/>
      <c r="KW18" s="395"/>
      <c r="KX18" s="395"/>
      <c r="KY18" s="395"/>
      <c r="KZ18" s="395"/>
      <c r="LA18" s="395"/>
      <c r="LB18" s="395"/>
      <c r="LC18" s="395"/>
      <c r="LD18" s="395"/>
      <c r="LE18" s="395"/>
      <c r="LF18" s="395"/>
      <c r="LG18" s="395"/>
      <c r="LH18" s="395"/>
      <c r="LI18" s="395"/>
      <c r="LJ18" s="395"/>
      <c r="LK18" s="395"/>
      <c r="LL18" s="395"/>
      <c r="LM18" s="395"/>
      <c r="LN18" s="395"/>
      <c r="LO18" s="395"/>
      <c r="LP18" s="395"/>
      <c r="LQ18" s="395"/>
      <c r="LR18" s="395"/>
      <c r="LS18" s="395"/>
      <c r="LT18" s="395"/>
      <c r="LU18" s="395"/>
      <c r="LV18" s="395"/>
      <c r="LW18" s="395"/>
      <c r="LX18" s="395"/>
      <c r="LY18" s="395"/>
      <c r="LZ18" s="395"/>
      <c r="MA18" s="395"/>
      <c r="MB18" s="395"/>
      <c r="MC18" s="395"/>
      <c r="MD18" s="395"/>
      <c r="ME18" s="395"/>
      <c r="MF18" s="395"/>
      <c r="MG18" s="395"/>
      <c r="MH18" s="395"/>
      <c r="MI18" s="395"/>
      <c r="MJ18" s="395"/>
      <c r="MK18" s="395"/>
      <c r="ML18" s="395"/>
      <c r="MM18" s="395"/>
      <c r="MN18" s="395"/>
      <c r="MO18" s="395"/>
      <c r="MP18" s="395"/>
      <c r="MQ18" s="395"/>
      <c r="MR18" s="395"/>
      <c r="MS18" s="395"/>
      <c r="MT18" s="395"/>
      <c r="MU18" s="395"/>
      <c r="MV18" s="395"/>
      <c r="MW18" s="395"/>
      <c r="MX18" s="395"/>
      <c r="MY18" s="395"/>
      <c r="MZ18" s="395"/>
      <c r="NA18" s="395"/>
      <c r="NB18" s="395"/>
      <c r="NC18" s="395"/>
      <c r="ND18" s="395"/>
      <c r="NE18" s="395"/>
      <c r="NF18" s="395"/>
      <c r="NG18" s="395"/>
      <c r="NH18" s="395"/>
      <c r="NI18" s="395"/>
      <c r="NJ18" s="395"/>
      <c r="NK18" s="395"/>
      <c r="NL18" s="395"/>
      <c r="NM18" s="395"/>
      <c r="NN18" s="395"/>
      <c r="NO18" s="395"/>
      <c r="NP18" s="395"/>
      <c r="NQ18" s="395"/>
      <c r="NR18" s="395"/>
      <c r="NS18" s="395"/>
      <c r="NT18" s="395"/>
      <c r="NU18" s="395"/>
      <c r="NV18" s="395"/>
      <c r="NW18" s="395"/>
      <c r="NX18" s="395"/>
      <c r="NY18" s="395"/>
      <c r="NZ18" s="395"/>
      <c r="OA18" s="395"/>
      <c r="OB18" s="395"/>
      <c r="OC18" s="395"/>
      <c r="OD18" s="395"/>
      <c r="OE18" s="395"/>
      <c r="OF18" s="395"/>
      <c r="OG18" s="395"/>
      <c r="OH18" s="395"/>
      <c r="OI18" s="395"/>
      <c r="OJ18" s="395"/>
      <c r="OK18" s="395"/>
      <c r="OL18" s="395"/>
      <c r="OM18" s="395"/>
      <c r="ON18" s="395"/>
      <c r="OO18" s="395"/>
      <c r="OP18" s="395"/>
      <c r="OQ18" s="395"/>
      <c r="OR18" s="395"/>
      <c r="OS18" s="395"/>
      <c r="OT18" s="395"/>
      <c r="OU18" s="395"/>
      <c r="OV18" s="395"/>
      <c r="OW18" s="395"/>
      <c r="OX18" s="395"/>
      <c r="OY18" s="395"/>
      <c r="OZ18" s="395"/>
      <c r="PA18" s="395"/>
      <c r="PB18" s="395"/>
      <c r="PC18" s="395"/>
      <c r="PD18" s="395"/>
      <c r="PE18" s="395"/>
      <c r="PF18" s="395"/>
      <c r="PG18" s="395"/>
      <c r="PH18" s="395"/>
      <c r="PI18" s="395"/>
      <c r="PJ18" s="395"/>
      <c r="PK18" s="395"/>
      <c r="PL18" s="395"/>
      <c r="PM18" s="395"/>
      <c r="PN18" s="395"/>
      <c r="PO18" s="395"/>
      <c r="PP18" s="395"/>
      <c r="PQ18" s="395"/>
      <c r="PR18" s="395"/>
      <c r="PS18" s="395"/>
      <c r="PT18" s="395"/>
      <c r="PU18" s="395"/>
      <c r="PV18" s="395"/>
      <c r="PW18" s="395"/>
      <c r="PX18" s="395"/>
      <c r="PY18" s="395"/>
      <c r="PZ18" s="395"/>
      <c r="QA18" s="395"/>
      <c r="QB18" s="395"/>
      <c r="QC18" s="395"/>
      <c r="QD18" s="395"/>
      <c r="QE18" s="395"/>
      <c r="QF18" s="395"/>
      <c r="QG18" s="395"/>
      <c r="QH18" s="395"/>
      <c r="QI18" s="395"/>
      <c r="QJ18" s="395"/>
      <c r="QK18" s="395"/>
      <c r="QL18" s="395"/>
      <c r="QM18" s="395"/>
      <c r="QN18" s="395"/>
      <c r="QO18" s="395"/>
      <c r="QP18" s="395"/>
      <c r="QQ18" s="395"/>
      <c r="QR18" s="395"/>
      <c r="QS18" s="395"/>
      <c r="QT18" s="395"/>
      <c r="QU18" s="395"/>
      <c r="QV18" s="395"/>
      <c r="QW18" s="395"/>
      <c r="QX18" s="395"/>
      <c r="QY18" s="395"/>
      <c r="QZ18" s="395"/>
      <c r="RA18" s="395"/>
      <c r="RB18" s="395"/>
      <c r="RC18" s="395"/>
      <c r="RD18" s="395"/>
      <c r="RE18" s="395"/>
      <c r="RF18" s="395"/>
      <c r="RG18" s="395"/>
      <c r="RH18" s="395"/>
      <c r="RI18" s="395"/>
      <c r="RJ18" s="395"/>
      <c r="RK18" s="395"/>
      <c r="RL18" s="395"/>
      <c r="RM18" s="395"/>
      <c r="RN18" s="395"/>
      <c r="RO18" s="395"/>
      <c r="RP18" s="395"/>
      <c r="RQ18" s="395"/>
      <c r="RR18" s="395"/>
      <c r="RS18" s="395"/>
      <c r="RT18" s="395"/>
      <c r="RU18" s="395"/>
      <c r="RV18" s="395"/>
      <c r="RW18" s="395"/>
      <c r="RX18" s="395"/>
      <c r="RY18" s="395"/>
      <c r="RZ18" s="395"/>
      <c r="SA18" s="395"/>
      <c r="SB18" s="395"/>
      <c r="SC18" s="395"/>
      <c r="SD18" s="395"/>
      <c r="SE18" s="395"/>
      <c r="SF18" s="395"/>
      <c r="SG18" s="395"/>
      <c r="SH18" s="395"/>
      <c r="SI18" s="395"/>
      <c r="SJ18" s="395"/>
      <c r="SK18" s="395"/>
      <c r="SL18" s="395"/>
      <c r="SM18" s="395"/>
      <c r="SN18" s="395"/>
      <c r="SO18" s="395"/>
      <c r="SP18" s="395"/>
      <c r="SQ18" s="395"/>
      <c r="SR18" s="395"/>
      <c r="SS18" s="395"/>
      <c r="ST18" s="395"/>
      <c r="SU18" s="395"/>
      <c r="SV18" s="395"/>
      <c r="SW18" s="395"/>
      <c r="SX18" s="395"/>
      <c r="SY18" s="395"/>
      <c r="SZ18" s="395"/>
      <c r="TA18" s="395"/>
      <c r="TB18" s="395"/>
      <c r="TC18" s="395"/>
      <c r="TD18" s="395"/>
      <c r="TE18" s="395"/>
      <c r="TF18" s="395"/>
      <c r="TG18" s="395"/>
      <c r="TH18" s="395"/>
      <c r="TI18" s="395"/>
      <c r="TJ18" s="395"/>
      <c r="TK18" s="395"/>
      <c r="TL18" s="395"/>
      <c r="TM18" s="395"/>
      <c r="TN18" s="395"/>
      <c r="TO18" s="395"/>
      <c r="TP18" s="395"/>
      <c r="TQ18" s="395"/>
      <c r="TR18" s="395"/>
      <c r="TS18" s="395"/>
      <c r="TT18" s="395"/>
      <c r="TU18" s="395"/>
      <c r="TV18" s="395"/>
      <c r="TW18" s="395"/>
      <c r="TX18" s="395"/>
      <c r="TY18" s="395"/>
      <c r="TZ18" s="395"/>
      <c r="UA18" s="395"/>
      <c r="UB18" s="395"/>
      <c r="UC18" s="395"/>
      <c r="UD18" s="395"/>
      <c r="UE18" s="395"/>
      <c r="UF18" s="395"/>
      <c r="UG18" s="395"/>
      <c r="UH18" s="395"/>
      <c r="UI18" s="395"/>
      <c r="UJ18" s="395"/>
      <c r="UK18" s="395"/>
      <c r="UL18" s="395"/>
      <c r="UM18" s="395"/>
      <c r="UN18" s="395"/>
      <c r="UO18" s="395"/>
      <c r="UP18" s="395"/>
      <c r="UQ18" s="395"/>
      <c r="UR18" s="395"/>
      <c r="US18" s="395"/>
      <c r="UT18" s="395"/>
      <c r="UU18" s="395"/>
      <c r="UV18" s="395"/>
      <c r="UW18" s="395"/>
      <c r="UX18" s="395"/>
      <c r="UY18" s="395"/>
      <c r="UZ18" s="395"/>
      <c r="VA18" s="395"/>
      <c r="VB18" s="395"/>
      <c r="VC18" s="395"/>
      <c r="VD18" s="395"/>
      <c r="VE18" s="395"/>
      <c r="VF18" s="395"/>
      <c r="VG18" s="395"/>
      <c r="VH18" s="395"/>
      <c r="VI18" s="395"/>
      <c r="VJ18" s="395"/>
      <c r="VK18" s="395"/>
      <c r="VL18" s="395"/>
      <c r="VM18" s="395"/>
      <c r="VN18" s="395"/>
      <c r="VO18" s="395"/>
      <c r="VP18" s="395"/>
      <c r="VQ18" s="395"/>
      <c r="VR18" s="395"/>
      <c r="VS18" s="395"/>
      <c r="VT18" s="395"/>
      <c r="VU18" s="395"/>
      <c r="VV18" s="395"/>
      <c r="VW18" s="395"/>
      <c r="VX18" s="395"/>
      <c r="VY18" s="395"/>
      <c r="VZ18" s="395"/>
      <c r="WA18" s="395"/>
      <c r="WB18" s="395"/>
      <c r="WC18" s="395"/>
      <c r="WD18" s="395"/>
      <c r="WE18" s="395"/>
      <c r="WF18" s="395"/>
      <c r="WG18" s="395"/>
      <c r="WH18" s="395"/>
      <c r="WI18" s="395"/>
      <c r="WJ18" s="395"/>
      <c r="WK18" s="395"/>
      <c r="WL18" s="395"/>
      <c r="WM18" s="395"/>
      <c r="WN18" s="395"/>
      <c r="WO18" s="395"/>
      <c r="WP18" s="395"/>
      <c r="WQ18" s="395"/>
      <c r="WR18" s="395"/>
      <c r="WS18" s="395"/>
      <c r="WT18" s="395"/>
      <c r="WU18" s="395"/>
      <c r="WV18" s="395"/>
      <c r="WW18" s="395"/>
      <c r="WX18" s="395"/>
      <c r="WY18" s="395"/>
      <c r="WZ18" s="395"/>
      <c r="XA18" s="395"/>
      <c r="XB18" s="395"/>
      <c r="XC18" s="395"/>
      <c r="XD18" s="395"/>
      <c r="XE18" s="395"/>
      <c r="XF18" s="395"/>
      <c r="XG18" s="395"/>
      <c r="XH18" s="395"/>
      <c r="XI18" s="395"/>
      <c r="XJ18" s="395"/>
      <c r="XK18" s="395"/>
      <c r="XL18" s="395"/>
      <c r="XM18" s="395"/>
      <c r="XN18" s="395"/>
      <c r="XO18" s="395"/>
      <c r="XP18" s="395"/>
      <c r="XQ18" s="395"/>
      <c r="XR18" s="395"/>
      <c r="XS18" s="395"/>
      <c r="XT18" s="395"/>
      <c r="XU18" s="395"/>
      <c r="XV18" s="395"/>
      <c r="XW18" s="395"/>
      <c r="XX18" s="395"/>
      <c r="XY18" s="395"/>
      <c r="XZ18" s="395"/>
      <c r="YA18" s="395"/>
      <c r="YB18" s="395"/>
      <c r="YC18" s="395"/>
      <c r="YD18" s="395"/>
      <c r="YE18" s="395"/>
      <c r="YF18" s="395"/>
      <c r="YG18" s="395"/>
      <c r="YH18" s="395"/>
      <c r="YI18" s="395"/>
      <c r="YJ18" s="395"/>
      <c r="YK18" s="395"/>
      <c r="YL18" s="395"/>
      <c r="YM18" s="395"/>
      <c r="YN18" s="395"/>
      <c r="YO18" s="395"/>
      <c r="YP18" s="395"/>
      <c r="YQ18" s="395"/>
      <c r="YR18" s="395"/>
      <c r="YS18" s="395"/>
      <c r="YT18" s="395"/>
      <c r="YU18" s="395"/>
      <c r="YV18" s="395"/>
      <c r="YW18" s="395"/>
      <c r="YX18" s="395"/>
      <c r="YY18" s="395"/>
      <c r="YZ18" s="395"/>
      <c r="ZA18" s="395"/>
      <c r="ZB18" s="395"/>
      <c r="ZC18" s="395"/>
      <c r="ZD18" s="395"/>
      <c r="ZE18" s="395"/>
      <c r="ZF18" s="395"/>
      <c r="ZG18" s="395"/>
      <c r="ZH18" s="395"/>
      <c r="ZI18" s="395"/>
      <c r="ZJ18" s="395"/>
      <c r="ZK18" s="395"/>
      <c r="ZL18" s="395"/>
      <c r="ZM18" s="395"/>
      <c r="ZN18" s="395"/>
      <c r="ZO18" s="395"/>
      <c r="ZP18" s="395"/>
      <c r="ZQ18" s="395"/>
      <c r="ZR18" s="395"/>
      <c r="ZS18" s="395"/>
      <c r="ZT18" s="395"/>
      <c r="ZU18" s="395"/>
      <c r="ZV18" s="395"/>
      <c r="ZW18" s="395"/>
      <c r="ZX18" s="395"/>
      <c r="ZY18" s="395"/>
      <c r="ZZ18" s="395"/>
      <c r="AAA18" s="395"/>
      <c r="AAB18" s="395"/>
      <c r="AAC18" s="395"/>
      <c r="AAD18" s="395"/>
      <c r="AAE18" s="395"/>
      <c r="AAF18" s="395"/>
      <c r="AAG18" s="395"/>
      <c r="AAH18" s="395"/>
      <c r="AAI18" s="395"/>
      <c r="AAJ18" s="395"/>
      <c r="AAK18" s="395"/>
      <c r="AAL18" s="395"/>
      <c r="AAM18" s="395"/>
      <c r="AAN18" s="395"/>
      <c r="AAO18" s="395"/>
      <c r="AAP18" s="395"/>
      <c r="AAQ18" s="395"/>
      <c r="AAR18" s="395"/>
      <c r="AAS18" s="395"/>
      <c r="AAT18" s="395"/>
      <c r="AAU18" s="395"/>
      <c r="AAV18" s="395"/>
      <c r="AAW18" s="395"/>
      <c r="AAX18" s="395"/>
      <c r="AAY18" s="395"/>
      <c r="AAZ18" s="395"/>
      <c r="ABA18" s="395"/>
      <c r="ABB18" s="395"/>
      <c r="ABC18" s="395"/>
      <c r="ABD18" s="395"/>
      <c r="ABE18" s="395"/>
      <c r="ABF18" s="395"/>
      <c r="ABG18" s="395"/>
      <c r="ABH18" s="395"/>
      <c r="ABI18" s="395"/>
      <c r="ABJ18" s="395"/>
      <c r="ABK18" s="395"/>
      <c r="ABL18" s="395"/>
      <c r="ABM18" s="395"/>
      <c r="ABN18" s="395"/>
      <c r="ABO18" s="395"/>
      <c r="ABP18" s="395"/>
      <c r="ABQ18" s="395"/>
      <c r="ABR18" s="395"/>
      <c r="ABS18" s="395"/>
      <c r="ABT18" s="395"/>
      <c r="ABU18" s="395"/>
      <c r="ABV18" s="395"/>
      <c r="ABW18" s="395"/>
      <c r="ABX18" s="395"/>
      <c r="ABY18" s="395"/>
      <c r="ABZ18" s="395"/>
      <c r="ACA18" s="395"/>
      <c r="ACB18" s="395"/>
      <c r="ACC18" s="395"/>
      <c r="ACD18" s="395"/>
      <c r="ACE18" s="395"/>
      <c r="ACF18" s="395"/>
      <c r="ACG18" s="395"/>
    </row>
    <row r="19" spans="1:761" s="289" customFormat="1" ht="15" customHeight="1" x14ac:dyDescent="0.2">
      <c r="A19" s="460" t="s">
        <v>8</v>
      </c>
      <c r="B19" s="466">
        <v>85461</v>
      </c>
      <c r="C19" s="466">
        <v>86049</v>
      </c>
      <c r="D19" s="466">
        <v>4234</v>
      </c>
      <c r="E19" s="466">
        <v>73651</v>
      </c>
      <c r="F19" s="466">
        <v>3129</v>
      </c>
      <c r="G19" s="466">
        <f>F19*3</f>
        <v>9387</v>
      </c>
      <c r="H19" s="467">
        <v>9693</v>
      </c>
      <c r="I19" s="467">
        <f>H19*4</f>
        <v>38772</v>
      </c>
      <c r="J19" s="466">
        <v>0</v>
      </c>
      <c r="K19" s="466">
        <v>0</v>
      </c>
      <c r="L19" s="468" t="s">
        <v>18</v>
      </c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  <c r="IX19" s="395"/>
      <c r="IY19" s="395"/>
      <c r="IZ19" s="395"/>
      <c r="JA19" s="395"/>
      <c r="JB19" s="395"/>
      <c r="JC19" s="395"/>
      <c r="JD19" s="395"/>
      <c r="JE19" s="395"/>
      <c r="JF19" s="395"/>
      <c r="JG19" s="395"/>
      <c r="JH19" s="395"/>
      <c r="JI19" s="395"/>
      <c r="JJ19" s="395"/>
      <c r="JK19" s="395"/>
      <c r="JL19" s="395"/>
      <c r="JM19" s="395"/>
      <c r="JN19" s="395"/>
      <c r="JO19" s="395"/>
      <c r="JP19" s="395"/>
      <c r="JQ19" s="395"/>
      <c r="JR19" s="395"/>
      <c r="JS19" s="395"/>
      <c r="JT19" s="395"/>
      <c r="JU19" s="395"/>
      <c r="JV19" s="395"/>
      <c r="JW19" s="395"/>
      <c r="JX19" s="395"/>
      <c r="JY19" s="395"/>
      <c r="JZ19" s="395"/>
      <c r="KA19" s="395"/>
      <c r="KB19" s="395"/>
      <c r="KC19" s="395"/>
      <c r="KD19" s="395"/>
      <c r="KE19" s="395"/>
      <c r="KF19" s="395"/>
      <c r="KG19" s="395"/>
      <c r="KH19" s="395"/>
      <c r="KI19" s="395"/>
      <c r="KJ19" s="395"/>
      <c r="KK19" s="395"/>
      <c r="KL19" s="395"/>
      <c r="KM19" s="395"/>
      <c r="KN19" s="395"/>
      <c r="KO19" s="395"/>
      <c r="KP19" s="395"/>
      <c r="KQ19" s="395"/>
      <c r="KR19" s="395"/>
      <c r="KS19" s="395"/>
      <c r="KT19" s="395"/>
      <c r="KU19" s="395"/>
      <c r="KV19" s="395"/>
      <c r="KW19" s="395"/>
      <c r="KX19" s="395"/>
      <c r="KY19" s="395"/>
      <c r="KZ19" s="395"/>
      <c r="LA19" s="395"/>
      <c r="LB19" s="395"/>
      <c r="LC19" s="395"/>
      <c r="LD19" s="395"/>
      <c r="LE19" s="395"/>
      <c r="LF19" s="395"/>
      <c r="LG19" s="395"/>
      <c r="LH19" s="395"/>
      <c r="LI19" s="395"/>
      <c r="LJ19" s="395"/>
      <c r="LK19" s="395"/>
      <c r="LL19" s="395"/>
      <c r="LM19" s="395"/>
      <c r="LN19" s="395"/>
      <c r="LO19" s="395"/>
      <c r="LP19" s="395"/>
      <c r="LQ19" s="395"/>
      <c r="LR19" s="395"/>
      <c r="LS19" s="395"/>
      <c r="LT19" s="395"/>
      <c r="LU19" s="395"/>
      <c r="LV19" s="395"/>
      <c r="LW19" s="395"/>
      <c r="LX19" s="395"/>
      <c r="LY19" s="395"/>
      <c r="LZ19" s="395"/>
      <c r="MA19" s="395"/>
      <c r="MB19" s="395"/>
      <c r="MC19" s="395"/>
      <c r="MD19" s="395"/>
      <c r="ME19" s="395"/>
      <c r="MF19" s="395"/>
      <c r="MG19" s="395"/>
      <c r="MH19" s="395"/>
      <c r="MI19" s="395"/>
      <c r="MJ19" s="395"/>
      <c r="MK19" s="395"/>
      <c r="ML19" s="395"/>
      <c r="MM19" s="395"/>
      <c r="MN19" s="395"/>
      <c r="MO19" s="395"/>
      <c r="MP19" s="395"/>
      <c r="MQ19" s="395"/>
      <c r="MR19" s="395"/>
      <c r="MS19" s="395"/>
      <c r="MT19" s="395"/>
      <c r="MU19" s="395"/>
      <c r="MV19" s="395"/>
      <c r="MW19" s="395"/>
      <c r="MX19" s="395"/>
      <c r="MY19" s="395"/>
      <c r="MZ19" s="395"/>
      <c r="NA19" s="395"/>
      <c r="NB19" s="395"/>
      <c r="NC19" s="395"/>
      <c r="ND19" s="395"/>
      <c r="NE19" s="395"/>
      <c r="NF19" s="395"/>
      <c r="NG19" s="395"/>
      <c r="NH19" s="395"/>
      <c r="NI19" s="395"/>
      <c r="NJ19" s="395"/>
      <c r="NK19" s="395"/>
      <c r="NL19" s="395"/>
      <c r="NM19" s="395"/>
      <c r="NN19" s="395"/>
      <c r="NO19" s="395"/>
      <c r="NP19" s="395"/>
      <c r="NQ19" s="395"/>
      <c r="NR19" s="395"/>
      <c r="NS19" s="395"/>
      <c r="NT19" s="395"/>
      <c r="NU19" s="395"/>
      <c r="NV19" s="395"/>
      <c r="NW19" s="395"/>
      <c r="NX19" s="395"/>
      <c r="NY19" s="395"/>
      <c r="NZ19" s="395"/>
      <c r="OA19" s="395"/>
      <c r="OB19" s="395"/>
      <c r="OC19" s="395"/>
      <c r="OD19" s="395"/>
      <c r="OE19" s="395"/>
      <c r="OF19" s="395"/>
      <c r="OG19" s="395"/>
      <c r="OH19" s="395"/>
      <c r="OI19" s="395"/>
      <c r="OJ19" s="395"/>
      <c r="OK19" s="395"/>
      <c r="OL19" s="395"/>
      <c r="OM19" s="395"/>
      <c r="ON19" s="395"/>
      <c r="OO19" s="395"/>
      <c r="OP19" s="395"/>
      <c r="OQ19" s="395"/>
      <c r="OR19" s="395"/>
      <c r="OS19" s="395"/>
      <c r="OT19" s="395"/>
      <c r="OU19" s="395"/>
      <c r="OV19" s="395"/>
      <c r="OW19" s="395"/>
      <c r="OX19" s="395"/>
      <c r="OY19" s="395"/>
      <c r="OZ19" s="395"/>
      <c r="PA19" s="395"/>
      <c r="PB19" s="395"/>
      <c r="PC19" s="395"/>
      <c r="PD19" s="395"/>
      <c r="PE19" s="395"/>
      <c r="PF19" s="395"/>
      <c r="PG19" s="395"/>
      <c r="PH19" s="395"/>
      <c r="PI19" s="395"/>
      <c r="PJ19" s="395"/>
      <c r="PK19" s="395"/>
      <c r="PL19" s="395"/>
      <c r="PM19" s="395"/>
      <c r="PN19" s="395"/>
      <c r="PO19" s="395"/>
      <c r="PP19" s="395"/>
      <c r="PQ19" s="395"/>
      <c r="PR19" s="395"/>
      <c r="PS19" s="395"/>
      <c r="PT19" s="395"/>
      <c r="PU19" s="395"/>
      <c r="PV19" s="395"/>
      <c r="PW19" s="395"/>
      <c r="PX19" s="395"/>
      <c r="PY19" s="395"/>
      <c r="PZ19" s="395"/>
      <c r="QA19" s="395"/>
      <c r="QB19" s="395"/>
      <c r="QC19" s="395"/>
      <c r="QD19" s="395"/>
      <c r="QE19" s="395"/>
      <c r="QF19" s="395"/>
      <c r="QG19" s="395"/>
      <c r="QH19" s="395"/>
      <c r="QI19" s="395"/>
      <c r="QJ19" s="395"/>
      <c r="QK19" s="395"/>
      <c r="QL19" s="395"/>
      <c r="QM19" s="395"/>
      <c r="QN19" s="395"/>
      <c r="QO19" s="395"/>
      <c r="QP19" s="395"/>
      <c r="QQ19" s="395"/>
      <c r="QR19" s="395"/>
      <c r="QS19" s="395"/>
      <c r="QT19" s="395"/>
      <c r="QU19" s="395"/>
      <c r="QV19" s="395"/>
      <c r="QW19" s="395"/>
      <c r="QX19" s="395"/>
      <c r="QY19" s="395"/>
      <c r="QZ19" s="395"/>
      <c r="RA19" s="395"/>
      <c r="RB19" s="395"/>
      <c r="RC19" s="395"/>
      <c r="RD19" s="395"/>
      <c r="RE19" s="395"/>
      <c r="RF19" s="395"/>
      <c r="RG19" s="395"/>
      <c r="RH19" s="395"/>
      <c r="RI19" s="395"/>
      <c r="RJ19" s="395"/>
      <c r="RK19" s="395"/>
      <c r="RL19" s="395"/>
      <c r="RM19" s="395"/>
      <c r="RN19" s="395"/>
      <c r="RO19" s="395"/>
      <c r="RP19" s="395"/>
      <c r="RQ19" s="395"/>
      <c r="RR19" s="395"/>
      <c r="RS19" s="395"/>
      <c r="RT19" s="395"/>
      <c r="RU19" s="395"/>
      <c r="RV19" s="395"/>
      <c r="RW19" s="395"/>
      <c r="RX19" s="395"/>
      <c r="RY19" s="395"/>
      <c r="RZ19" s="395"/>
      <c r="SA19" s="395"/>
      <c r="SB19" s="395"/>
      <c r="SC19" s="395"/>
      <c r="SD19" s="395"/>
      <c r="SE19" s="395"/>
      <c r="SF19" s="395"/>
      <c r="SG19" s="395"/>
      <c r="SH19" s="395"/>
      <c r="SI19" s="395"/>
      <c r="SJ19" s="395"/>
      <c r="SK19" s="395"/>
      <c r="SL19" s="395"/>
      <c r="SM19" s="395"/>
      <c r="SN19" s="395"/>
      <c r="SO19" s="395"/>
      <c r="SP19" s="395"/>
      <c r="SQ19" s="395"/>
      <c r="SR19" s="395"/>
      <c r="SS19" s="395"/>
      <c r="ST19" s="395"/>
      <c r="SU19" s="395"/>
      <c r="SV19" s="395"/>
      <c r="SW19" s="395"/>
      <c r="SX19" s="395"/>
      <c r="SY19" s="395"/>
      <c r="SZ19" s="395"/>
      <c r="TA19" s="395"/>
      <c r="TB19" s="395"/>
      <c r="TC19" s="395"/>
      <c r="TD19" s="395"/>
      <c r="TE19" s="395"/>
      <c r="TF19" s="395"/>
      <c r="TG19" s="395"/>
      <c r="TH19" s="395"/>
      <c r="TI19" s="395"/>
      <c r="TJ19" s="395"/>
      <c r="TK19" s="395"/>
      <c r="TL19" s="395"/>
      <c r="TM19" s="395"/>
      <c r="TN19" s="395"/>
      <c r="TO19" s="395"/>
      <c r="TP19" s="395"/>
      <c r="TQ19" s="395"/>
      <c r="TR19" s="395"/>
      <c r="TS19" s="395"/>
      <c r="TT19" s="395"/>
      <c r="TU19" s="395"/>
      <c r="TV19" s="395"/>
      <c r="TW19" s="395"/>
      <c r="TX19" s="395"/>
      <c r="TY19" s="395"/>
      <c r="TZ19" s="395"/>
      <c r="UA19" s="395"/>
      <c r="UB19" s="395"/>
      <c r="UC19" s="395"/>
      <c r="UD19" s="395"/>
      <c r="UE19" s="395"/>
      <c r="UF19" s="395"/>
      <c r="UG19" s="395"/>
      <c r="UH19" s="395"/>
      <c r="UI19" s="395"/>
      <c r="UJ19" s="395"/>
      <c r="UK19" s="395"/>
      <c r="UL19" s="395"/>
      <c r="UM19" s="395"/>
      <c r="UN19" s="395"/>
      <c r="UO19" s="395"/>
      <c r="UP19" s="395"/>
      <c r="UQ19" s="395"/>
      <c r="UR19" s="395"/>
      <c r="US19" s="395"/>
      <c r="UT19" s="395"/>
      <c r="UU19" s="395"/>
      <c r="UV19" s="395"/>
      <c r="UW19" s="395"/>
      <c r="UX19" s="395"/>
      <c r="UY19" s="395"/>
      <c r="UZ19" s="395"/>
      <c r="VA19" s="395"/>
      <c r="VB19" s="395"/>
      <c r="VC19" s="395"/>
      <c r="VD19" s="395"/>
      <c r="VE19" s="395"/>
      <c r="VF19" s="395"/>
      <c r="VG19" s="395"/>
      <c r="VH19" s="395"/>
      <c r="VI19" s="395"/>
      <c r="VJ19" s="395"/>
      <c r="VK19" s="395"/>
      <c r="VL19" s="395"/>
      <c r="VM19" s="395"/>
      <c r="VN19" s="395"/>
      <c r="VO19" s="395"/>
      <c r="VP19" s="395"/>
      <c r="VQ19" s="395"/>
      <c r="VR19" s="395"/>
      <c r="VS19" s="395"/>
      <c r="VT19" s="395"/>
      <c r="VU19" s="395"/>
      <c r="VV19" s="395"/>
      <c r="VW19" s="395"/>
      <c r="VX19" s="395"/>
      <c r="VY19" s="395"/>
      <c r="VZ19" s="395"/>
      <c r="WA19" s="395"/>
      <c r="WB19" s="395"/>
      <c r="WC19" s="395"/>
      <c r="WD19" s="395"/>
      <c r="WE19" s="395"/>
      <c r="WF19" s="395"/>
      <c r="WG19" s="395"/>
      <c r="WH19" s="395"/>
      <c r="WI19" s="395"/>
      <c r="WJ19" s="395"/>
      <c r="WK19" s="395"/>
      <c r="WL19" s="395"/>
      <c r="WM19" s="395"/>
      <c r="WN19" s="395"/>
      <c r="WO19" s="395"/>
      <c r="WP19" s="395"/>
      <c r="WQ19" s="395"/>
      <c r="WR19" s="395"/>
      <c r="WS19" s="395"/>
      <c r="WT19" s="395"/>
      <c r="WU19" s="395"/>
      <c r="WV19" s="395"/>
      <c r="WW19" s="395"/>
      <c r="WX19" s="395"/>
      <c r="WY19" s="395"/>
      <c r="WZ19" s="395"/>
      <c r="XA19" s="395"/>
      <c r="XB19" s="395"/>
      <c r="XC19" s="395"/>
      <c r="XD19" s="395"/>
      <c r="XE19" s="395"/>
      <c r="XF19" s="395"/>
      <c r="XG19" s="395"/>
      <c r="XH19" s="395"/>
      <c r="XI19" s="395"/>
      <c r="XJ19" s="395"/>
      <c r="XK19" s="395"/>
      <c r="XL19" s="395"/>
      <c r="XM19" s="395"/>
      <c r="XN19" s="395"/>
      <c r="XO19" s="395"/>
      <c r="XP19" s="395"/>
      <c r="XQ19" s="395"/>
      <c r="XR19" s="395"/>
      <c r="XS19" s="395"/>
      <c r="XT19" s="395"/>
      <c r="XU19" s="395"/>
      <c r="XV19" s="395"/>
      <c r="XW19" s="395"/>
      <c r="XX19" s="395"/>
      <c r="XY19" s="395"/>
      <c r="XZ19" s="395"/>
      <c r="YA19" s="395"/>
      <c r="YB19" s="395"/>
      <c r="YC19" s="395"/>
      <c r="YD19" s="395"/>
      <c r="YE19" s="395"/>
      <c r="YF19" s="395"/>
      <c r="YG19" s="395"/>
      <c r="YH19" s="395"/>
      <c r="YI19" s="395"/>
      <c r="YJ19" s="395"/>
      <c r="YK19" s="395"/>
      <c r="YL19" s="395"/>
      <c r="YM19" s="395"/>
      <c r="YN19" s="395"/>
      <c r="YO19" s="395"/>
      <c r="YP19" s="395"/>
      <c r="YQ19" s="395"/>
      <c r="YR19" s="395"/>
      <c r="YS19" s="395"/>
      <c r="YT19" s="395"/>
      <c r="YU19" s="395"/>
      <c r="YV19" s="395"/>
      <c r="YW19" s="395"/>
      <c r="YX19" s="395"/>
      <c r="YY19" s="395"/>
      <c r="YZ19" s="395"/>
      <c r="ZA19" s="395"/>
      <c r="ZB19" s="395"/>
      <c r="ZC19" s="395"/>
      <c r="ZD19" s="395"/>
      <c r="ZE19" s="395"/>
      <c r="ZF19" s="395"/>
      <c r="ZG19" s="395"/>
      <c r="ZH19" s="395"/>
      <c r="ZI19" s="395"/>
      <c r="ZJ19" s="395"/>
      <c r="ZK19" s="395"/>
      <c r="ZL19" s="395"/>
      <c r="ZM19" s="395"/>
      <c r="ZN19" s="395"/>
      <c r="ZO19" s="395"/>
      <c r="ZP19" s="395"/>
      <c r="ZQ19" s="395"/>
      <c r="ZR19" s="395"/>
      <c r="ZS19" s="395"/>
      <c r="ZT19" s="395"/>
      <c r="ZU19" s="395"/>
      <c r="ZV19" s="395"/>
      <c r="ZW19" s="395"/>
      <c r="ZX19" s="395"/>
      <c r="ZY19" s="395"/>
      <c r="ZZ19" s="395"/>
      <c r="AAA19" s="395"/>
      <c r="AAB19" s="395"/>
      <c r="AAC19" s="395"/>
      <c r="AAD19" s="395"/>
      <c r="AAE19" s="395"/>
      <c r="AAF19" s="395"/>
      <c r="AAG19" s="395"/>
      <c r="AAH19" s="395"/>
      <c r="AAI19" s="395"/>
      <c r="AAJ19" s="395"/>
      <c r="AAK19" s="395"/>
      <c r="AAL19" s="395"/>
      <c r="AAM19" s="395"/>
      <c r="AAN19" s="395"/>
      <c r="AAO19" s="395"/>
      <c r="AAP19" s="395"/>
      <c r="AAQ19" s="395"/>
      <c r="AAR19" s="395"/>
      <c r="AAS19" s="395"/>
      <c r="AAT19" s="395"/>
      <c r="AAU19" s="395"/>
      <c r="AAV19" s="395"/>
      <c r="AAW19" s="395"/>
      <c r="AAX19" s="395"/>
      <c r="AAY19" s="395"/>
      <c r="AAZ19" s="395"/>
      <c r="ABA19" s="395"/>
      <c r="ABB19" s="395"/>
      <c r="ABC19" s="395"/>
      <c r="ABD19" s="395"/>
      <c r="ABE19" s="395"/>
      <c r="ABF19" s="395"/>
      <c r="ABG19" s="395"/>
      <c r="ABH19" s="395"/>
      <c r="ABI19" s="395"/>
      <c r="ABJ19" s="395"/>
      <c r="ABK19" s="395"/>
      <c r="ABL19" s="395"/>
      <c r="ABM19" s="395"/>
      <c r="ABN19" s="395"/>
      <c r="ABO19" s="395"/>
      <c r="ABP19" s="395"/>
      <c r="ABQ19" s="395"/>
      <c r="ABR19" s="395"/>
      <c r="ABS19" s="395"/>
      <c r="ABT19" s="395"/>
      <c r="ABU19" s="395"/>
      <c r="ABV19" s="395"/>
      <c r="ABW19" s="395"/>
      <c r="ABX19" s="395"/>
      <c r="ABY19" s="395"/>
      <c r="ABZ19" s="395"/>
      <c r="ACA19" s="395"/>
      <c r="ACB19" s="395"/>
      <c r="ACC19" s="395"/>
      <c r="ACD19" s="395"/>
      <c r="ACE19" s="395"/>
      <c r="ACF19" s="395"/>
      <c r="ACG19" s="395"/>
    </row>
    <row r="20" spans="1:761" s="289" customFormat="1" ht="15" customHeight="1" x14ac:dyDescent="0.2">
      <c r="A20" s="542" t="s">
        <v>9</v>
      </c>
      <c r="B20" s="549">
        <v>36480</v>
      </c>
      <c r="C20" s="549">
        <v>32075</v>
      </c>
      <c r="D20" s="549">
        <v>12262</v>
      </c>
      <c r="E20" s="549">
        <v>241666</v>
      </c>
      <c r="F20" s="549">
        <v>5268</v>
      </c>
      <c r="G20" s="549">
        <f>F20*1</f>
        <v>5268</v>
      </c>
      <c r="H20" s="550">
        <v>8365</v>
      </c>
      <c r="I20" s="550">
        <f>H20*4</f>
        <v>33460</v>
      </c>
      <c r="J20" s="549">
        <v>0</v>
      </c>
      <c r="K20" s="549">
        <v>0</v>
      </c>
      <c r="L20" s="551" t="s">
        <v>19</v>
      </c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  <c r="IX20" s="395"/>
      <c r="IY20" s="395"/>
      <c r="IZ20" s="395"/>
      <c r="JA20" s="395"/>
      <c r="JB20" s="395"/>
      <c r="JC20" s="395"/>
      <c r="JD20" s="395"/>
      <c r="JE20" s="395"/>
      <c r="JF20" s="395"/>
      <c r="JG20" s="395"/>
      <c r="JH20" s="395"/>
      <c r="JI20" s="395"/>
      <c r="JJ20" s="395"/>
      <c r="JK20" s="395"/>
      <c r="JL20" s="395"/>
      <c r="JM20" s="395"/>
      <c r="JN20" s="395"/>
      <c r="JO20" s="395"/>
      <c r="JP20" s="395"/>
      <c r="JQ20" s="395"/>
      <c r="JR20" s="395"/>
      <c r="JS20" s="395"/>
      <c r="JT20" s="395"/>
      <c r="JU20" s="395"/>
      <c r="JV20" s="395"/>
      <c r="JW20" s="395"/>
      <c r="JX20" s="395"/>
      <c r="JY20" s="395"/>
      <c r="JZ20" s="395"/>
      <c r="KA20" s="395"/>
      <c r="KB20" s="395"/>
      <c r="KC20" s="395"/>
      <c r="KD20" s="395"/>
      <c r="KE20" s="395"/>
      <c r="KF20" s="395"/>
      <c r="KG20" s="395"/>
      <c r="KH20" s="395"/>
      <c r="KI20" s="395"/>
      <c r="KJ20" s="395"/>
      <c r="KK20" s="395"/>
      <c r="KL20" s="395"/>
      <c r="KM20" s="395"/>
      <c r="KN20" s="395"/>
      <c r="KO20" s="395"/>
      <c r="KP20" s="395"/>
      <c r="KQ20" s="395"/>
      <c r="KR20" s="395"/>
      <c r="KS20" s="395"/>
      <c r="KT20" s="395"/>
      <c r="KU20" s="395"/>
      <c r="KV20" s="395"/>
      <c r="KW20" s="395"/>
      <c r="KX20" s="395"/>
      <c r="KY20" s="395"/>
      <c r="KZ20" s="395"/>
      <c r="LA20" s="395"/>
      <c r="LB20" s="395"/>
      <c r="LC20" s="395"/>
      <c r="LD20" s="395"/>
      <c r="LE20" s="395"/>
      <c r="LF20" s="395"/>
      <c r="LG20" s="395"/>
      <c r="LH20" s="395"/>
      <c r="LI20" s="395"/>
      <c r="LJ20" s="395"/>
      <c r="LK20" s="395"/>
      <c r="LL20" s="395"/>
      <c r="LM20" s="395"/>
      <c r="LN20" s="395"/>
      <c r="LO20" s="395"/>
      <c r="LP20" s="395"/>
      <c r="LQ20" s="395"/>
      <c r="LR20" s="395"/>
      <c r="LS20" s="395"/>
      <c r="LT20" s="395"/>
      <c r="LU20" s="395"/>
      <c r="LV20" s="395"/>
      <c r="LW20" s="395"/>
      <c r="LX20" s="395"/>
      <c r="LY20" s="395"/>
      <c r="LZ20" s="395"/>
      <c r="MA20" s="395"/>
      <c r="MB20" s="395"/>
      <c r="MC20" s="395"/>
      <c r="MD20" s="395"/>
      <c r="ME20" s="395"/>
      <c r="MF20" s="395"/>
      <c r="MG20" s="395"/>
      <c r="MH20" s="395"/>
      <c r="MI20" s="395"/>
      <c r="MJ20" s="395"/>
      <c r="MK20" s="395"/>
      <c r="ML20" s="395"/>
      <c r="MM20" s="395"/>
      <c r="MN20" s="395"/>
      <c r="MO20" s="395"/>
      <c r="MP20" s="395"/>
      <c r="MQ20" s="395"/>
      <c r="MR20" s="395"/>
      <c r="MS20" s="395"/>
      <c r="MT20" s="395"/>
      <c r="MU20" s="395"/>
      <c r="MV20" s="395"/>
      <c r="MW20" s="395"/>
      <c r="MX20" s="395"/>
      <c r="MY20" s="395"/>
      <c r="MZ20" s="395"/>
      <c r="NA20" s="395"/>
      <c r="NB20" s="395"/>
      <c r="NC20" s="395"/>
      <c r="ND20" s="395"/>
      <c r="NE20" s="395"/>
      <c r="NF20" s="395"/>
      <c r="NG20" s="395"/>
      <c r="NH20" s="395"/>
      <c r="NI20" s="395"/>
      <c r="NJ20" s="395"/>
      <c r="NK20" s="395"/>
      <c r="NL20" s="395"/>
      <c r="NM20" s="395"/>
      <c r="NN20" s="395"/>
      <c r="NO20" s="395"/>
      <c r="NP20" s="395"/>
      <c r="NQ20" s="395"/>
      <c r="NR20" s="395"/>
      <c r="NS20" s="395"/>
      <c r="NT20" s="395"/>
      <c r="NU20" s="395"/>
      <c r="NV20" s="395"/>
      <c r="NW20" s="395"/>
      <c r="NX20" s="395"/>
      <c r="NY20" s="395"/>
      <c r="NZ20" s="395"/>
      <c r="OA20" s="395"/>
      <c r="OB20" s="395"/>
      <c r="OC20" s="395"/>
      <c r="OD20" s="395"/>
      <c r="OE20" s="395"/>
      <c r="OF20" s="395"/>
      <c r="OG20" s="395"/>
      <c r="OH20" s="395"/>
      <c r="OI20" s="395"/>
      <c r="OJ20" s="395"/>
      <c r="OK20" s="395"/>
      <c r="OL20" s="395"/>
      <c r="OM20" s="395"/>
      <c r="ON20" s="395"/>
      <c r="OO20" s="395"/>
      <c r="OP20" s="395"/>
      <c r="OQ20" s="395"/>
      <c r="OR20" s="395"/>
      <c r="OS20" s="395"/>
      <c r="OT20" s="395"/>
      <c r="OU20" s="395"/>
      <c r="OV20" s="395"/>
      <c r="OW20" s="395"/>
      <c r="OX20" s="395"/>
      <c r="OY20" s="395"/>
      <c r="OZ20" s="395"/>
      <c r="PA20" s="395"/>
      <c r="PB20" s="395"/>
      <c r="PC20" s="395"/>
      <c r="PD20" s="395"/>
      <c r="PE20" s="395"/>
      <c r="PF20" s="395"/>
      <c r="PG20" s="395"/>
      <c r="PH20" s="395"/>
      <c r="PI20" s="395"/>
      <c r="PJ20" s="395"/>
      <c r="PK20" s="395"/>
      <c r="PL20" s="395"/>
      <c r="PM20" s="395"/>
      <c r="PN20" s="395"/>
      <c r="PO20" s="395"/>
      <c r="PP20" s="395"/>
      <c r="PQ20" s="395"/>
      <c r="PR20" s="395"/>
      <c r="PS20" s="395"/>
      <c r="PT20" s="395"/>
      <c r="PU20" s="395"/>
      <c r="PV20" s="395"/>
      <c r="PW20" s="395"/>
      <c r="PX20" s="395"/>
      <c r="PY20" s="395"/>
      <c r="PZ20" s="395"/>
      <c r="QA20" s="395"/>
      <c r="QB20" s="395"/>
      <c r="QC20" s="395"/>
      <c r="QD20" s="395"/>
      <c r="QE20" s="395"/>
      <c r="QF20" s="395"/>
      <c r="QG20" s="395"/>
      <c r="QH20" s="395"/>
      <c r="QI20" s="395"/>
      <c r="QJ20" s="395"/>
      <c r="QK20" s="395"/>
      <c r="QL20" s="395"/>
      <c r="QM20" s="395"/>
      <c r="QN20" s="395"/>
      <c r="QO20" s="395"/>
      <c r="QP20" s="395"/>
      <c r="QQ20" s="395"/>
      <c r="QR20" s="395"/>
      <c r="QS20" s="395"/>
      <c r="QT20" s="395"/>
      <c r="QU20" s="395"/>
      <c r="QV20" s="395"/>
      <c r="QW20" s="395"/>
      <c r="QX20" s="395"/>
      <c r="QY20" s="395"/>
      <c r="QZ20" s="395"/>
      <c r="RA20" s="395"/>
      <c r="RB20" s="395"/>
      <c r="RC20" s="395"/>
      <c r="RD20" s="395"/>
      <c r="RE20" s="395"/>
      <c r="RF20" s="395"/>
      <c r="RG20" s="395"/>
      <c r="RH20" s="395"/>
      <c r="RI20" s="395"/>
      <c r="RJ20" s="395"/>
      <c r="RK20" s="395"/>
      <c r="RL20" s="395"/>
      <c r="RM20" s="395"/>
      <c r="RN20" s="395"/>
      <c r="RO20" s="395"/>
      <c r="RP20" s="395"/>
      <c r="RQ20" s="395"/>
      <c r="RR20" s="395"/>
      <c r="RS20" s="395"/>
      <c r="RT20" s="395"/>
      <c r="RU20" s="395"/>
      <c r="RV20" s="395"/>
      <c r="RW20" s="395"/>
      <c r="RX20" s="395"/>
      <c r="RY20" s="395"/>
      <c r="RZ20" s="395"/>
      <c r="SA20" s="395"/>
      <c r="SB20" s="395"/>
      <c r="SC20" s="395"/>
      <c r="SD20" s="395"/>
      <c r="SE20" s="395"/>
      <c r="SF20" s="395"/>
      <c r="SG20" s="395"/>
      <c r="SH20" s="395"/>
      <c r="SI20" s="395"/>
      <c r="SJ20" s="395"/>
      <c r="SK20" s="395"/>
      <c r="SL20" s="395"/>
      <c r="SM20" s="395"/>
      <c r="SN20" s="395"/>
      <c r="SO20" s="395"/>
      <c r="SP20" s="395"/>
      <c r="SQ20" s="395"/>
      <c r="SR20" s="395"/>
      <c r="SS20" s="395"/>
      <c r="ST20" s="395"/>
      <c r="SU20" s="395"/>
      <c r="SV20" s="395"/>
      <c r="SW20" s="395"/>
      <c r="SX20" s="395"/>
      <c r="SY20" s="395"/>
      <c r="SZ20" s="395"/>
      <c r="TA20" s="395"/>
      <c r="TB20" s="395"/>
      <c r="TC20" s="395"/>
      <c r="TD20" s="395"/>
      <c r="TE20" s="395"/>
      <c r="TF20" s="395"/>
      <c r="TG20" s="395"/>
      <c r="TH20" s="395"/>
      <c r="TI20" s="395"/>
      <c r="TJ20" s="395"/>
      <c r="TK20" s="395"/>
      <c r="TL20" s="395"/>
      <c r="TM20" s="395"/>
      <c r="TN20" s="395"/>
      <c r="TO20" s="395"/>
      <c r="TP20" s="395"/>
      <c r="TQ20" s="395"/>
      <c r="TR20" s="395"/>
      <c r="TS20" s="395"/>
      <c r="TT20" s="395"/>
      <c r="TU20" s="395"/>
      <c r="TV20" s="395"/>
      <c r="TW20" s="395"/>
      <c r="TX20" s="395"/>
      <c r="TY20" s="395"/>
      <c r="TZ20" s="395"/>
      <c r="UA20" s="395"/>
      <c r="UB20" s="395"/>
      <c r="UC20" s="395"/>
      <c r="UD20" s="395"/>
      <c r="UE20" s="395"/>
      <c r="UF20" s="395"/>
      <c r="UG20" s="395"/>
      <c r="UH20" s="395"/>
      <c r="UI20" s="395"/>
      <c r="UJ20" s="395"/>
      <c r="UK20" s="395"/>
      <c r="UL20" s="395"/>
      <c r="UM20" s="395"/>
      <c r="UN20" s="395"/>
      <c r="UO20" s="395"/>
      <c r="UP20" s="395"/>
      <c r="UQ20" s="395"/>
      <c r="UR20" s="395"/>
      <c r="US20" s="395"/>
      <c r="UT20" s="395"/>
      <c r="UU20" s="395"/>
      <c r="UV20" s="395"/>
      <c r="UW20" s="395"/>
      <c r="UX20" s="395"/>
      <c r="UY20" s="395"/>
      <c r="UZ20" s="395"/>
      <c r="VA20" s="395"/>
      <c r="VB20" s="395"/>
      <c r="VC20" s="395"/>
      <c r="VD20" s="395"/>
      <c r="VE20" s="395"/>
      <c r="VF20" s="395"/>
      <c r="VG20" s="395"/>
      <c r="VH20" s="395"/>
      <c r="VI20" s="395"/>
      <c r="VJ20" s="395"/>
      <c r="VK20" s="395"/>
      <c r="VL20" s="395"/>
      <c r="VM20" s="395"/>
      <c r="VN20" s="395"/>
      <c r="VO20" s="395"/>
      <c r="VP20" s="395"/>
      <c r="VQ20" s="395"/>
      <c r="VR20" s="395"/>
      <c r="VS20" s="395"/>
      <c r="VT20" s="395"/>
      <c r="VU20" s="395"/>
      <c r="VV20" s="395"/>
      <c r="VW20" s="395"/>
      <c r="VX20" s="395"/>
      <c r="VY20" s="395"/>
      <c r="VZ20" s="395"/>
      <c r="WA20" s="395"/>
      <c r="WB20" s="395"/>
      <c r="WC20" s="395"/>
      <c r="WD20" s="395"/>
      <c r="WE20" s="395"/>
      <c r="WF20" s="395"/>
      <c r="WG20" s="395"/>
      <c r="WH20" s="395"/>
      <c r="WI20" s="395"/>
      <c r="WJ20" s="395"/>
      <c r="WK20" s="395"/>
      <c r="WL20" s="395"/>
      <c r="WM20" s="395"/>
      <c r="WN20" s="395"/>
      <c r="WO20" s="395"/>
      <c r="WP20" s="395"/>
      <c r="WQ20" s="395"/>
      <c r="WR20" s="395"/>
      <c r="WS20" s="395"/>
      <c r="WT20" s="395"/>
      <c r="WU20" s="395"/>
      <c r="WV20" s="395"/>
      <c r="WW20" s="395"/>
      <c r="WX20" s="395"/>
      <c r="WY20" s="395"/>
      <c r="WZ20" s="395"/>
      <c r="XA20" s="395"/>
      <c r="XB20" s="395"/>
      <c r="XC20" s="395"/>
      <c r="XD20" s="395"/>
      <c r="XE20" s="395"/>
      <c r="XF20" s="395"/>
      <c r="XG20" s="395"/>
      <c r="XH20" s="395"/>
      <c r="XI20" s="395"/>
      <c r="XJ20" s="395"/>
      <c r="XK20" s="395"/>
      <c r="XL20" s="395"/>
      <c r="XM20" s="395"/>
      <c r="XN20" s="395"/>
      <c r="XO20" s="395"/>
      <c r="XP20" s="395"/>
      <c r="XQ20" s="395"/>
      <c r="XR20" s="395"/>
      <c r="XS20" s="395"/>
      <c r="XT20" s="395"/>
      <c r="XU20" s="395"/>
      <c r="XV20" s="395"/>
      <c r="XW20" s="395"/>
      <c r="XX20" s="395"/>
      <c r="XY20" s="395"/>
      <c r="XZ20" s="395"/>
      <c r="YA20" s="395"/>
      <c r="YB20" s="395"/>
      <c r="YC20" s="395"/>
      <c r="YD20" s="395"/>
      <c r="YE20" s="395"/>
      <c r="YF20" s="395"/>
      <c r="YG20" s="395"/>
      <c r="YH20" s="395"/>
      <c r="YI20" s="395"/>
      <c r="YJ20" s="395"/>
      <c r="YK20" s="395"/>
      <c r="YL20" s="395"/>
      <c r="YM20" s="395"/>
      <c r="YN20" s="395"/>
      <c r="YO20" s="395"/>
      <c r="YP20" s="395"/>
      <c r="YQ20" s="395"/>
      <c r="YR20" s="395"/>
      <c r="YS20" s="395"/>
      <c r="YT20" s="395"/>
      <c r="YU20" s="395"/>
      <c r="YV20" s="395"/>
      <c r="YW20" s="395"/>
      <c r="YX20" s="395"/>
      <c r="YY20" s="395"/>
      <c r="YZ20" s="395"/>
      <c r="ZA20" s="395"/>
      <c r="ZB20" s="395"/>
      <c r="ZC20" s="395"/>
      <c r="ZD20" s="395"/>
      <c r="ZE20" s="395"/>
      <c r="ZF20" s="395"/>
      <c r="ZG20" s="395"/>
      <c r="ZH20" s="395"/>
      <c r="ZI20" s="395"/>
      <c r="ZJ20" s="395"/>
      <c r="ZK20" s="395"/>
      <c r="ZL20" s="395"/>
      <c r="ZM20" s="395"/>
      <c r="ZN20" s="395"/>
      <c r="ZO20" s="395"/>
      <c r="ZP20" s="395"/>
      <c r="ZQ20" s="395"/>
      <c r="ZR20" s="395"/>
      <c r="ZS20" s="395"/>
      <c r="ZT20" s="395"/>
      <c r="ZU20" s="395"/>
      <c r="ZV20" s="395"/>
      <c r="ZW20" s="395"/>
      <c r="ZX20" s="395"/>
      <c r="ZY20" s="395"/>
      <c r="ZZ20" s="395"/>
      <c r="AAA20" s="395"/>
      <c r="AAB20" s="395"/>
      <c r="AAC20" s="395"/>
      <c r="AAD20" s="395"/>
      <c r="AAE20" s="395"/>
      <c r="AAF20" s="395"/>
      <c r="AAG20" s="395"/>
      <c r="AAH20" s="395"/>
      <c r="AAI20" s="395"/>
      <c r="AAJ20" s="395"/>
      <c r="AAK20" s="395"/>
      <c r="AAL20" s="395"/>
      <c r="AAM20" s="395"/>
      <c r="AAN20" s="395"/>
      <c r="AAO20" s="395"/>
      <c r="AAP20" s="395"/>
      <c r="AAQ20" s="395"/>
      <c r="AAR20" s="395"/>
      <c r="AAS20" s="395"/>
      <c r="AAT20" s="395"/>
      <c r="AAU20" s="395"/>
      <c r="AAV20" s="395"/>
      <c r="AAW20" s="395"/>
      <c r="AAX20" s="395"/>
      <c r="AAY20" s="395"/>
      <c r="AAZ20" s="395"/>
      <c r="ABA20" s="395"/>
      <c r="ABB20" s="395"/>
      <c r="ABC20" s="395"/>
      <c r="ABD20" s="395"/>
      <c r="ABE20" s="395"/>
      <c r="ABF20" s="395"/>
      <c r="ABG20" s="395"/>
      <c r="ABH20" s="395"/>
      <c r="ABI20" s="395"/>
      <c r="ABJ20" s="395"/>
      <c r="ABK20" s="395"/>
      <c r="ABL20" s="395"/>
      <c r="ABM20" s="395"/>
      <c r="ABN20" s="395"/>
      <c r="ABO20" s="395"/>
      <c r="ABP20" s="395"/>
      <c r="ABQ20" s="395"/>
      <c r="ABR20" s="395"/>
      <c r="ABS20" s="395"/>
      <c r="ABT20" s="395"/>
      <c r="ABU20" s="395"/>
      <c r="ABV20" s="395"/>
      <c r="ABW20" s="395"/>
      <c r="ABX20" s="395"/>
      <c r="ABY20" s="395"/>
      <c r="ABZ20" s="395"/>
      <c r="ACA20" s="395"/>
      <c r="ACB20" s="395"/>
      <c r="ACC20" s="395"/>
      <c r="ACD20" s="395"/>
      <c r="ACE20" s="395"/>
      <c r="ACF20" s="395"/>
      <c r="ACG20" s="395"/>
    </row>
    <row r="21" spans="1:761" s="289" customFormat="1" ht="15" customHeight="1" x14ac:dyDescent="0.2">
      <c r="A21" s="460" t="s">
        <v>10</v>
      </c>
      <c r="B21" s="466">
        <v>76483</v>
      </c>
      <c r="C21" s="466">
        <v>65068</v>
      </c>
      <c r="D21" s="466">
        <v>651</v>
      </c>
      <c r="E21" s="466">
        <f>D21*17</f>
        <v>11067</v>
      </c>
      <c r="F21" s="466">
        <v>1781</v>
      </c>
      <c r="G21" s="466">
        <f>F21*3</f>
        <v>5343</v>
      </c>
      <c r="H21" s="467">
        <v>15367</v>
      </c>
      <c r="I21" s="467">
        <f>H21*4</f>
        <v>61468</v>
      </c>
      <c r="J21" s="466">
        <v>0</v>
      </c>
      <c r="K21" s="466">
        <v>0</v>
      </c>
      <c r="L21" s="468" t="s">
        <v>20</v>
      </c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  <c r="IX21" s="395"/>
      <c r="IY21" s="395"/>
      <c r="IZ21" s="395"/>
      <c r="JA21" s="395"/>
      <c r="JB21" s="395"/>
      <c r="JC21" s="395"/>
      <c r="JD21" s="395"/>
      <c r="JE21" s="395"/>
      <c r="JF21" s="395"/>
      <c r="JG21" s="395"/>
      <c r="JH21" s="395"/>
      <c r="JI21" s="395"/>
      <c r="JJ21" s="395"/>
      <c r="JK21" s="395"/>
      <c r="JL21" s="395"/>
      <c r="JM21" s="395"/>
      <c r="JN21" s="395"/>
      <c r="JO21" s="395"/>
      <c r="JP21" s="395"/>
      <c r="JQ21" s="395"/>
      <c r="JR21" s="395"/>
      <c r="JS21" s="395"/>
      <c r="JT21" s="395"/>
      <c r="JU21" s="395"/>
      <c r="JV21" s="395"/>
      <c r="JW21" s="395"/>
      <c r="JX21" s="395"/>
      <c r="JY21" s="395"/>
      <c r="JZ21" s="395"/>
      <c r="KA21" s="395"/>
      <c r="KB21" s="395"/>
      <c r="KC21" s="395"/>
      <c r="KD21" s="395"/>
      <c r="KE21" s="395"/>
      <c r="KF21" s="395"/>
      <c r="KG21" s="395"/>
      <c r="KH21" s="395"/>
      <c r="KI21" s="395"/>
      <c r="KJ21" s="395"/>
      <c r="KK21" s="395"/>
      <c r="KL21" s="395"/>
      <c r="KM21" s="395"/>
      <c r="KN21" s="395"/>
      <c r="KO21" s="395"/>
      <c r="KP21" s="395"/>
      <c r="KQ21" s="395"/>
      <c r="KR21" s="395"/>
      <c r="KS21" s="395"/>
      <c r="KT21" s="395"/>
      <c r="KU21" s="395"/>
      <c r="KV21" s="395"/>
      <c r="KW21" s="395"/>
      <c r="KX21" s="395"/>
      <c r="KY21" s="395"/>
      <c r="KZ21" s="395"/>
      <c r="LA21" s="395"/>
      <c r="LB21" s="395"/>
      <c r="LC21" s="395"/>
      <c r="LD21" s="395"/>
      <c r="LE21" s="395"/>
      <c r="LF21" s="395"/>
      <c r="LG21" s="395"/>
      <c r="LH21" s="395"/>
      <c r="LI21" s="395"/>
      <c r="LJ21" s="395"/>
      <c r="LK21" s="395"/>
      <c r="LL21" s="395"/>
      <c r="LM21" s="395"/>
      <c r="LN21" s="395"/>
      <c r="LO21" s="395"/>
      <c r="LP21" s="395"/>
      <c r="LQ21" s="395"/>
      <c r="LR21" s="395"/>
      <c r="LS21" s="395"/>
      <c r="LT21" s="395"/>
      <c r="LU21" s="395"/>
      <c r="LV21" s="395"/>
      <c r="LW21" s="395"/>
      <c r="LX21" s="395"/>
      <c r="LY21" s="395"/>
      <c r="LZ21" s="395"/>
      <c r="MA21" s="395"/>
      <c r="MB21" s="395"/>
      <c r="MC21" s="395"/>
      <c r="MD21" s="395"/>
      <c r="ME21" s="395"/>
      <c r="MF21" s="395"/>
      <c r="MG21" s="395"/>
      <c r="MH21" s="395"/>
      <c r="MI21" s="395"/>
      <c r="MJ21" s="395"/>
      <c r="MK21" s="395"/>
      <c r="ML21" s="395"/>
      <c r="MM21" s="395"/>
      <c r="MN21" s="395"/>
      <c r="MO21" s="395"/>
      <c r="MP21" s="395"/>
      <c r="MQ21" s="395"/>
      <c r="MR21" s="395"/>
      <c r="MS21" s="395"/>
      <c r="MT21" s="395"/>
      <c r="MU21" s="395"/>
      <c r="MV21" s="395"/>
      <c r="MW21" s="395"/>
      <c r="MX21" s="395"/>
      <c r="MY21" s="395"/>
      <c r="MZ21" s="395"/>
      <c r="NA21" s="395"/>
      <c r="NB21" s="395"/>
      <c r="NC21" s="395"/>
      <c r="ND21" s="395"/>
      <c r="NE21" s="395"/>
      <c r="NF21" s="395"/>
      <c r="NG21" s="395"/>
      <c r="NH21" s="395"/>
      <c r="NI21" s="395"/>
      <c r="NJ21" s="395"/>
      <c r="NK21" s="395"/>
      <c r="NL21" s="395"/>
      <c r="NM21" s="395"/>
      <c r="NN21" s="395"/>
      <c r="NO21" s="395"/>
      <c r="NP21" s="395"/>
      <c r="NQ21" s="395"/>
      <c r="NR21" s="395"/>
      <c r="NS21" s="395"/>
      <c r="NT21" s="395"/>
      <c r="NU21" s="395"/>
      <c r="NV21" s="395"/>
      <c r="NW21" s="395"/>
      <c r="NX21" s="395"/>
      <c r="NY21" s="395"/>
      <c r="NZ21" s="395"/>
      <c r="OA21" s="395"/>
      <c r="OB21" s="395"/>
      <c r="OC21" s="395"/>
      <c r="OD21" s="395"/>
      <c r="OE21" s="395"/>
      <c r="OF21" s="395"/>
      <c r="OG21" s="395"/>
      <c r="OH21" s="395"/>
      <c r="OI21" s="395"/>
      <c r="OJ21" s="395"/>
      <c r="OK21" s="395"/>
      <c r="OL21" s="395"/>
      <c r="OM21" s="395"/>
      <c r="ON21" s="395"/>
      <c r="OO21" s="395"/>
      <c r="OP21" s="395"/>
      <c r="OQ21" s="395"/>
      <c r="OR21" s="395"/>
      <c r="OS21" s="395"/>
      <c r="OT21" s="395"/>
      <c r="OU21" s="395"/>
      <c r="OV21" s="395"/>
      <c r="OW21" s="395"/>
      <c r="OX21" s="395"/>
      <c r="OY21" s="395"/>
      <c r="OZ21" s="395"/>
      <c r="PA21" s="395"/>
      <c r="PB21" s="395"/>
      <c r="PC21" s="395"/>
      <c r="PD21" s="395"/>
      <c r="PE21" s="395"/>
      <c r="PF21" s="395"/>
      <c r="PG21" s="395"/>
      <c r="PH21" s="395"/>
      <c r="PI21" s="395"/>
      <c r="PJ21" s="395"/>
      <c r="PK21" s="395"/>
      <c r="PL21" s="395"/>
      <c r="PM21" s="395"/>
      <c r="PN21" s="395"/>
      <c r="PO21" s="395"/>
      <c r="PP21" s="395"/>
      <c r="PQ21" s="395"/>
      <c r="PR21" s="395"/>
      <c r="PS21" s="395"/>
      <c r="PT21" s="395"/>
      <c r="PU21" s="395"/>
      <c r="PV21" s="395"/>
      <c r="PW21" s="395"/>
      <c r="PX21" s="395"/>
      <c r="PY21" s="395"/>
      <c r="PZ21" s="395"/>
      <c r="QA21" s="395"/>
      <c r="QB21" s="395"/>
      <c r="QC21" s="395"/>
      <c r="QD21" s="395"/>
      <c r="QE21" s="395"/>
      <c r="QF21" s="395"/>
      <c r="QG21" s="395"/>
      <c r="QH21" s="395"/>
      <c r="QI21" s="395"/>
      <c r="QJ21" s="395"/>
      <c r="QK21" s="395"/>
      <c r="QL21" s="395"/>
      <c r="QM21" s="395"/>
      <c r="QN21" s="395"/>
      <c r="QO21" s="395"/>
      <c r="QP21" s="395"/>
      <c r="QQ21" s="395"/>
      <c r="QR21" s="395"/>
      <c r="QS21" s="395"/>
      <c r="QT21" s="395"/>
      <c r="QU21" s="395"/>
      <c r="QV21" s="395"/>
      <c r="QW21" s="395"/>
      <c r="QX21" s="395"/>
      <c r="QY21" s="395"/>
      <c r="QZ21" s="395"/>
      <c r="RA21" s="395"/>
      <c r="RB21" s="395"/>
      <c r="RC21" s="395"/>
      <c r="RD21" s="395"/>
      <c r="RE21" s="395"/>
      <c r="RF21" s="395"/>
      <c r="RG21" s="395"/>
      <c r="RH21" s="395"/>
      <c r="RI21" s="395"/>
      <c r="RJ21" s="395"/>
      <c r="RK21" s="395"/>
      <c r="RL21" s="395"/>
      <c r="RM21" s="395"/>
      <c r="RN21" s="395"/>
      <c r="RO21" s="395"/>
      <c r="RP21" s="395"/>
      <c r="RQ21" s="395"/>
      <c r="RR21" s="395"/>
      <c r="RS21" s="395"/>
      <c r="RT21" s="395"/>
      <c r="RU21" s="395"/>
      <c r="RV21" s="395"/>
      <c r="RW21" s="395"/>
      <c r="RX21" s="395"/>
      <c r="RY21" s="395"/>
      <c r="RZ21" s="395"/>
      <c r="SA21" s="395"/>
      <c r="SB21" s="395"/>
      <c r="SC21" s="395"/>
      <c r="SD21" s="395"/>
      <c r="SE21" s="395"/>
      <c r="SF21" s="395"/>
      <c r="SG21" s="395"/>
      <c r="SH21" s="395"/>
      <c r="SI21" s="395"/>
      <c r="SJ21" s="395"/>
      <c r="SK21" s="395"/>
      <c r="SL21" s="395"/>
      <c r="SM21" s="395"/>
      <c r="SN21" s="395"/>
      <c r="SO21" s="395"/>
      <c r="SP21" s="395"/>
      <c r="SQ21" s="395"/>
      <c r="SR21" s="395"/>
      <c r="SS21" s="395"/>
      <c r="ST21" s="395"/>
      <c r="SU21" s="395"/>
      <c r="SV21" s="395"/>
      <c r="SW21" s="395"/>
      <c r="SX21" s="395"/>
      <c r="SY21" s="395"/>
      <c r="SZ21" s="395"/>
      <c r="TA21" s="395"/>
      <c r="TB21" s="395"/>
      <c r="TC21" s="395"/>
      <c r="TD21" s="395"/>
      <c r="TE21" s="395"/>
      <c r="TF21" s="395"/>
      <c r="TG21" s="395"/>
      <c r="TH21" s="395"/>
      <c r="TI21" s="395"/>
      <c r="TJ21" s="395"/>
      <c r="TK21" s="395"/>
      <c r="TL21" s="395"/>
      <c r="TM21" s="395"/>
      <c r="TN21" s="395"/>
      <c r="TO21" s="395"/>
      <c r="TP21" s="395"/>
      <c r="TQ21" s="395"/>
      <c r="TR21" s="395"/>
      <c r="TS21" s="395"/>
      <c r="TT21" s="395"/>
      <c r="TU21" s="395"/>
      <c r="TV21" s="395"/>
      <c r="TW21" s="395"/>
      <c r="TX21" s="395"/>
      <c r="TY21" s="395"/>
      <c r="TZ21" s="395"/>
      <c r="UA21" s="395"/>
      <c r="UB21" s="395"/>
      <c r="UC21" s="395"/>
      <c r="UD21" s="395"/>
      <c r="UE21" s="395"/>
      <c r="UF21" s="395"/>
      <c r="UG21" s="395"/>
      <c r="UH21" s="395"/>
      <c r="UI21" s="395"/>
      <c r="UJ21" s="395"/>
      <c r="UK21" s="395"/>
      <c r="UL21" s="395"/>
      <c r="UM21" s="395"/>
      <c r="UN21" s="395"/>
      <c r="UO21" s="395"/>
      <c r="UP21" s="395"/>
      <c r="UQ21" s="395"/>
      <c r="UR21" s="395"/>
      <c r="US21" s="395"/>
      <c r="UT21" s="395"/>
      <c r="UU21" s="395"/>
      <c r="UV21" s="395"/>
      <c r="UW21" s="395"/>
      <c r="UX21" s="395"/>
      <c r="UY21" s="395"/>
      <c r="UZ21" s="395"/>
      <c r="VA21" s="395"/>
      <c r="VB21" s="395"/>
      <c r="VC21" s="395"/>
      <c r="VD21" s="395"/>
      <c r="VE21" s="395"/>
      <c r="VF21" s="395"/>
      <c r="VG21" s="395"/>
      <c r="VH21" s="395"/>
      <c r="VI21" s="395"/>
      <c r="VJ21" s="395"/>
      <c r="VK21" s="395"/>
      <c r="VL21" s="395"/>
      <c r="VM21" s="395"/>
      <c r="VN21" s="395"/>
      <c r="VO21" s="395"/>
      <c r="VP21" s="395"/>
      <c r="VQ21" s="395"/>
      <c r="VR21" s="395"/>
      <c r="VS21" s="395"/>
      <c r="VT21" s="395"/>
      <c r="VU21" s="395"/>
      <c r="VV21" s="395"/>
      <c r="VW21" s="395"/>
      <c r="VX21" s="395"/>
      <c r="VY21" s="395"/>
      <c r="VZ21" s="395"/>
      <c r="WA21" s="395"/>
      <c r="WB21" s="395"/>
      <c r="WC21" s="395"/>
      <c r="WD21" s="395"/>
      <c r="WE21" s="395"/>
      <c r="WF21" s="395"/>
      <c r="WG21" s="395"/>
      <c r="WH21" s="395"/>
      <c r="WI21" s="395"/>
      <c r="WJ21" s="395"/>
      <c r="WK21" s="395"/>
      <c r="WL21" s="395"/>
      <c r="WM21" s="395"/>
      <c r="WN21" s="395"/>
      <c r="WO21" s="395"/>
      <c r="WP21" s="395"/>
      <c r="WQ21" s="395"/>
      <c r="WR21" s="395"/>
      <c r="WS21" s="395"/>
      <c r="WT21" s="395"/>
      <c r="WU21" s="395"/>
      <c r="WV21" s="395"/>
      <c r="WW21" s="395"/>
      <c r="WX21" s="395"/>
      <c r="WY21" s="395"/>
      <c r="WZ21" s="395"/>
      <c r="XA21" s="395"/>
      <c r="XB21" s="395"/>
      <c r="XC21" s="395"/>
      <c r="XD21" s="395"/>
      <c r="XE21" s="395"/>
      <c r="XF21" s="395"/>
      <c r="XG21" s="395"/>
      <c r="XH21" s="395"/>
      <c r="XI21" s="395"/>
      <c r="XJ21" s="395"/>
      <c r="XK21" s="395"/>
      <c r="XL21" s="395"/>
      <c r="XM21" s="395"/>
      <c r="XN21" s="395"/>
      <c r="XO21" s="395"/>
      <c r="XP21" s="395"/>
      <c r="XQ21" s="395"/>
      <c r="XR21" s="395"/>
      <c r="XS21" s="395"/>
      <c r="XT21" s="395"/>
      <c r="XU21" s="395"/>
      <c r="XV21" s="395"/>
      <c r="XW21" s="395"/>
      <c r="XX21" s="395"/>
      <c r="XY21" s="395"/>
      <c r="XZ21" s="395"/>
      <c r="YA21" s="395"/>
      <c r="YB21" s="395"/>
      <c r="YC21" s="395"/>
      <c r="YD21" s="395"/>
      <c r="YE21" s="395"/>
      <c r="YF21" s="395"/>
      <c r="YG21" s="395"/>
      <c r="YH21" s="395"/>
      <c r="YI21" s="395"/>
      <c r="YJ21" s="395"/>
      <c r="YK21" s="395"/>
      <c r="YL21" s="395"/>
      <c r="YM21" s="395"/>
      <c r="YN21" s="395"/>
      <c r="YO21" s="395"/>
      <c r="YP21" s="395"/>
      <c r="YQ21" s="395"/>
      <c r="YR21" s="395"/>
      <c r="YS21" s="395"/>
      <c r="YT21" s="395"/>
      <c r="YU21" s="395"/>
      <c r="YV21" s="395"/>
      <c r="YW21" s="395"/>
      <c r="YX21" s="395"/>
      <c r="YY21" s="395"/>
      <c r="YZ21" s="395"/>
      <c r="ZA21" s="395"/>
      <c r="ZB21" s="395"/>
      <c r="ZC21" s="395"/>
      <c r="ZD21" s="395"/>
      <c r="ZE21" s="395"/>
      <c r="ZF21" s="395"/>
      <c r="ZG21" s="395"/>
      <c r="ZH21" s="395"/>
      <c r="ZI21" s="395"/>
      <c r="ZJ21" s="395"/>
      <c r="ZK21" s="395"/>
      <c r="ZL21" s="395"/>
      <c r="ZM21" s="395"/>
      <c r="ZN21" s="395"/>
      <c r="ZO21" s="395"/>
      <c r="ZP21" s="395"/>
      <c r="ZQ21" s="395"/>
      <c r="ZR21" s="395"/>
      <c r="ZS21" s="395"/>
      <c r="ZT21" s="395"/>
      <c r="ZU21" s="395"/>
      <c r="ZV21" s="395"/>
      <c r="ZW21" s="395"/>
      <c r="ZX21" s="395"/>
      <c r="ZY21" s="395"/>
      <c r="ZZ21" s="395"/>
      <c r="AAA21" s="395"/>
      <c r="AAB21" s="395"/>
      <c r="AAC21" s="395"/>
      <c r="AAD21" s="395"/>
      <c r="AAE21" s="395"/>
      <c r="AAF21" s="395"/>
      <c r="AAG21" s="395"/>
      <c r="AAH21" s="395"/>
      <c r="AAI21" s="395"/>
      <c r="AAJ21" s="395"/>
      <c r="AAK21" s="395"/>
      <c r="AAL21" s="395"/>
      <c r="AAM21" s="395"/>
      <c r="AAN21" s="395"/>
      <c r="AAO21" s="395"/>
      <c r="AAP21" s="395"/>
      <c r="AAQ21" s="395"/>
      <c r="AAR21" s="395"/>
      <c r="AAS21" s="395"/>
      <c r="AAT21" s="395"/>
      <c r="AAU21" s="395"/>
      <c r="AAV21" s="395"/>
      <c r="AAW21" s="395"/>
      <c r="AAX21" s="395"/>
      <c r="AAY21" s="395"/>
      <c r="AAZ21" s="395"/>
      <c r="ABA21" s="395"/>
      <c r="ABB21" s="395"/>
      <c r="ABC21" s="395"/>
      <c r="ABD21" s="395"/>
      <c r="ABE21" s="395"/>
      <c r="ABF21" s="395"/>
      <c r="ABG21" s="395"/>
      <c r="ABH21" s="395"/>
      <c r="ABI21" s="395"/>
      <c r="ABJ21" s="395"/>
      <c r="ABK21" s="395"/>
      <c r="ABL21" s="395"/>
      <c r="ABM21" s="395"/>
      <c r="ABN21" s="395"/>
      <c r="ABO21" s="395"/>
      <c r="ABP21" s="395"/>
      <c r="ABQ21" s="395"/>
      <c r="ABR21" s="395"/>
      <c r="ABS21" s="395"/>
      <c r="ABT21" s="395"/>
      <c r="ABU21" s="395"/>
      <c r="ABV21" s="395"/>
      <c r="ABW21" s="395"/>
      <c r="ABX21" s="395"/>
      <c r="ABY21" s="395"/>
      <c r="ABZ21" s="395"/>
      <c r="ACA21" s="395"/>
      <c r="ACB21" s="395"/>
      <c r="ACC21" s="395"/>
      <c r="ACD21" s="395"/>
      <c r="ACE21" s="395"/>
      <c r="ACF21" s="395"/>
      <c r="ACG21" s="395"/>
    </row>
    <row r="22" spans="1:761" s="395" customFormat="1" ht="15" customHeight="1" x14ac:dyDescent="0.2">
      <c r="A22" s="542" t="s">
        <v>12</v>
      </c>
      <c r="B22" s="549">
        <v>4071</v>
      </c>
      <c r="C22" s="549">
        <v>8604</v>
      </c>
      <c r="D22" s="549">
        <v>0</v>
      </c>
      <c r="E22" s="549">
        <v>0</v>
      </c>
      <c r="F22" s="549">
        <v>5</v>
      </c>
      <c r="G22" s="549">
        <f>F22*3</f>
        <v>15</v>
      </c>
      <c r="H22" s="550">
        <v>1108</v>
      </c>
      <c r="I22" s="550">
        <f>H22*2</f>
        <v>2216</v>
      </c>
      <c r="J22" s="549">
        <v>0</v>
      </c>
      <c r="K22" s="549">
        <v>0</v>
      </c>
      <c r="L22" s="551" t="s">
        <v>25</v>
      </c>
    </row>
    <row r="23" spans="1:761" s="395" customFormat="1" ht="15" customHeight="1" thickBot="1" x14ac:dyDescent="0.25">
      <c r="A23" s="460" t="s">
        <v>13</v>
      </c>
      <c r="B23" s="466">
        <v>75852</v>
      </c>
      <c r="C23" s="466">
        <v>91518</v>
      </c>
      <c r="D23" s="466">
        <v>0</v>
      </c>
      <c r="E23" s="466">
        <v>0</v>
      </c>
      <c r="F23" s="466">
        <v>0</v>
      </c>
      <c r="G23" s="466">
        <v>0</v>
      </c>
      <c r="H23" s="467">
        <v>6938</v>
      </c>
      <c r="I23" s="467">
        <f>H23*2</f>
        <v>13876</v>
      </c>
      <c r="J23" s="466">
        <v>0</v>
      </c>
      <c r="K23" s="466">
        <v>0</v>
      </c>
      <c r="L23" s="468" t="s">
        <v>22</v>
      </c>
    </row>
    <row r="24" spans="1:761" s="431" customFormat="1" ht="24" customHeight="1" thickBot="1" x14ac:dyDescent="0.25">
      <c r="A24" s="464" t="s">
        <v>0</v>
      </c>
      <c r="B24" s="469">
        <v>877082</v>
      </c>
      <c r="C24" s="469">
        <f>SUM(C9:C23)</f>
        <v>1410589</v>
      </c>
      <c r="D24" s="469">
        <v>47580</v>
      </c>
      <c r="E24" s="469">
        <f>SUM(E9:E23)</f>
        <v>857960</v>
      </c>
      <c r="F24" s="469">
        <v>43907</v>
      </c>
      <c r="G24" s="469">
        <f>SUM(G9:G23)</f>
        <v>115232</v>
      </c>
      <c r="H24" s="469">
        <v>129641</v>
      </c>
      <c r="I24" s="469">
        <f>SUM(I9:I23)</f>
        <v>400087</v>
      </c>
      <c r="J24" s="470">
        <v>150630</v>
      </c>
      <c r="K24" s="469">
        <f>SUM(K9:K23)</f>
        <v>3909519</v>
      </c>
      <c r="L24" s="471" t="s">
        <v>1</v>
      </c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  <c r="IX24" s="395"/>
      <c r="IY24" s="395"/>
      <c r="IZ24" s="395"/>
      <c r="JA24" s="395"/>
      <c r="JB24" s="395"/>
      <c r="JC24" s="395"/>
      <c r="JD24" s="395"/>
      <c r="JE24" s="395"/>
      <c r="JF24" s="395"/>
      <c r="JG24" s="395"/>
      <c r="JH24" s="395"/>
      <c r="JI24" s="395"/>
      <c r="JJ24" s="395"/>
      <c r="JK24" s="395"/>
      <c r="JL24" s="395"/>
      <c r="JM24" s="395"/>
      <c r="JN24" s="395"/>
      <c r="JO24" s="395"/>
      <c r="JP24" s="395"/>
      <c r="JQ24" s="395"/>
      <c r="JR24" s="395"/>
      <c r="JS24" s="395"/>
      <c r="JT24" s="395"/>
      <c r="JU24" s="395"/>
      <c r="JV24" s="395"/>
      <c r="JW24" s="395"/>
      <c r="JX24" s="395"/>
      <c r="JY24" s="395"/>
      <c r="JZ24" s="395"/>
      <c r="KA24" s="395"/>
      <c r="KB24" s="395"/>
      <c r="KC24" s="395"/>
      <c r="KD24" s="395"/>
      <c r="KE24" s="395"/>
      <c r="KF24" s="395"/>
      <c r="KG24" s="395"/>
      <c r="KH24" s="395"/>
      <c r="KI24" s="395"/>
      <c r="KJ24" s="395"/>
      <c r="KK24" s="395"/>
      <c r="KL24" s="395"/>
      <c r="KM24" s="395"/>
      <c r="KN24" s="395"/>
      <c r="KO24" s="395"/>
      <c r="KP24" s="395"/>
      <c r="KQ24" s="395"/>
      <c r="KR24" s="395"/>
      <c r="KS24" s="395"/>
      <c r="KT24" s="395"/>
      <c r="KU24" s="395"/>
      <c r="KV24" s="395"/>
      <c r="KW24" s="395"/>
      <c r="KX24" s="395"/>
      <c r="KY24" s="395"/>
      <c r="KZ24" s="395"/>
      <c r="LA24" s="395"/>
      <c r="LB24" s="395"/>
      <c r="LC24" s="395"/>
      <c r="LD24" s="395"/>
      <c r="LE24" s="395"/>
      <c r="LF24" s="395"/>
      <c r="LG24" s="395"/>
      <c r="LH24" s="395"/>
      <c r="LI24" s="395"/>
      <c r="LJ24" s="395"/>
      <c r="LK24" s="395"/>
      <c r="LL24" s="395"/>
      <c r="LM24" s="395"/>
      <c r="LN24" s="395"/>
      <c r="LO24" s="395"/>
      <c r="LP24" s="395"/>
      <c r="LQ24" s="395"/>
      <c r="LR24" s="395"/>
      <c r="LS24" s="395"/>
      <c r="LT24" s="395"/>
      <c r="LU24" s="395"/>
      <c r="LV24" s="395"/>
      <c r="LW24" s="395"/>
      <c r="LX24" s="395"/>
      <c r="LY24" s="395"/>
      <c r="LZ24" s="395"/>
      <c r="MA24" s="395"/>
      <c r="MB24" s="395"/>
      <c r="MC24" s="395"/>
      <c r="MD24" s="395"/>
      <c r="ME24" s="395"/>
      <c r="MF24" s="395"/>
      <c r="MG24" s="395"/>
      <c r="MH24" s="395"/>
      <c r="MI24" s="395"/>
      <c r="MJ24" s="395"/>
      <c r="MK24" s="395"/>
      <c r="ML24" s="395"/>
      <c r="MM24" s="395"/>
      <c r="MN24" s="395"/>
      <c r="MO24" s="395"/>
      <c r="MP24" s="395"/>
      <c r="MQ24" s="395"/>
      <c r="MR24" s="395"/>
      <c r="MS24" s="395"/>
      <c r="MT24" s="395"/>
      <c r="MU24" s="395"/>
      <c r="MV24" s="395"/>
      <c r="MW24" s="395"/>
      <c r="MX24" s="395"/>
      <c r="MY24" s="395"/>
      <c r="MZ24" s="395"/>
      <c r="NA24" s="395"/>
      <c r="NB24" s="395"/>
      <c r="NC24" s="395"/>
      <c r="ND24" s="395"/>
      <c r="NE24" s="395"/>
      <c r="NF24" s="395"/>
      <c r="NG24" s="395"/>
      <c r="NH24" s="395"/>
      <c r="NI24" s="395"/>
      <c r="NJ24" s="395"/>
      <c r="NK24" s="395"/>
      <c r="NL24" s="395"/>
      <c r="NM24" s="395"/>
      <c r="NN24" s="395"/>
      <c r="NO24" s="395"/>
      <c r="NP24" s="395"/>
      <c r="NQ24" s="395"/>
      <c r="NR24" s="395"/>
      <c r="NS24" s="395"/>
      <c r="NT24" s="395"/>
      <c r="NU24" s="395"/>
      <c r="NV24" s="395"/>
      <c r="NW24" s="395"/>
      <c r="NX24" s="395"/>
      <c r="NY24" s="395"/>
      <c r="NZ24" s="395"/>
      <c r="OA24" s="395"/>
      <c r="OB24" s="395"/>
      <c r="OC24" s="395"/>
      <c r="OD24" s="395"/>
      <c r="OE24" s="395"/>
      <c r="OF24" s="395"/>
      <c r="OG24" s="395"/>
      <c r="OH24" s="395"/>
      <c r="OI24" s="395"/>
      <c r="OJ24" s="395"/>
      <c r="OK24" s="395"/>
      <c r="OL24" s="395"/>
      <c r="OM24" s="395"/>
      <c r="ON24" s="395"/>
      <c r="OO24" s="395"/>
      <c r="OP24" s="395"/>
      <c r="OQ24" s="395"/>
      <c r="OR24" s="395"/>
      <c r="OS24" s="395"/>
      <c r="OT24" s="395"/>
      <c r="OU24" s="395"/>
      <c r="OV24" s="395"/>
      <c r="OW24" s="395"/>
      <c r="OX24" s="395"/>
      <c r="OY24" s="395"/>
      <c r="OZ24" s="395"/>
      <c r="PA24" s="395"/>
      <c r="PB24" s="395"/>
      <c r="PC24" s="395"/>
      <c r="PD24" s="395"/>
      <c r="PE24" s="395"/>
      <c r="PF24" s="395"/>
      <c r="PG24" s="395"/>
      <c r="PH24" s="395"/>
      <c r="PI24" s="395"/>
      <c r="PJ24" s="395"/>
      <c r="PK24" s="395"/>
      <c r="PL24" s="395"/>
      <c r="PM24" s="395"/>
      <c r="PN24" s="395"/>
      <c r="PO24" s="395"/>
      <c r="PP24" s="395"/>
      <c r="PQ24" s="395"/>
      <c r="PR24" s="395"/>
      <c r="PS24" s="395"/>
      <c r="PT24" s="395"/>
      <c r="PU24" s="395"/>
      <c r="PV24" s="395"/>
      <c r="PW24" s="395"/>
      <c r="PX24" s="395"/>
      <c r="PY24" s="395"/>
      <c r="PZ24" s="395"/>
      <c r="QA24" s="395"/>
      <c r="QB24" s="395"/>
      <c r="QC24" s="395"/>
      <c r="QD24" s="395"/>
      <c r="QE24" s="395"/>
      <c r="QF24" s="395"/>
      <c r="QG24" s="395"/>
      <c r="QH24" s="395"/>
      <c r="QI24" s="395"/>
      <c r="QJ24" s="395"/>
      <c r="QK24" s="395"/>
      <c r="QL24" s="395"/>
      <c r="QM24" s="395"/>
      <c r="QN24" s="395"/>
      <c r="QO24" s="395"/>
      <c r="QP24" s="395"/>
      <c r="QQ24" s="395"/>
      <c r="QR24" s="395"/>
      <c r="QS24" s="395"/>
      <c r="QT24" s="395"/>
      <c r="QU24" s="395"/>
      <c r="QV24" s="395"/>
      <c r="QW24" s="395"/>
      <c r="QX24" s="395"/>
      <c r="QY24" s="395"/>
      <c r="QZ24" s="395"/>
      <c r="RA24" s="395"/>
      <c r="RB24" s="395"/>
      <c r="RC24" s="395"/>
      <c r="RD24" s="395"/>
      <c r="RE24" s="395"/>
      <c r="RF24" s="395"/>
      <c r="RG24" s="395"/>
      <c r="RH24" s="395"/>
      <c r="RI24" s="395"/>
      <c r="RJ24" s="395"/>
      <c r="RK24" s="395"/>
      <c r="RL24" s="395"/>
      <c r="RM24" s="395"/>
      <c r="RN24" s="395"/>
      <c r="RO24" s="395"/>
      <c r="RP24" s="395"/>
      <c r="RQ24" s="395"/>
      <c r="RR24" s="395"/>
      <c r="RS24" s="395"/>
      <c r="RT24" s="395"/>
      <c r="RU24" s="395"/>
      <c r="RV24" s="395"/>
      <c r="RW24" s="395"/>
      <c r="RX24" s="395"/>
      <c r="RY24" s="395"/>
      <c r="RZ24" s="395"/>
      <c r="SA24" s="395"/>
      <c r="SB24" s="395"/>
      <c r="SC24" s="395"/>
      <c r="SD24" s="395"/>
      <c r="SE24" s="395"/>
      <c r="SF24" s="395"/>
      <c r="SG24" s="395"/>
      <c r="SH24" s="395"/>
      <c r="SI24" s="395"/>
      <c r="SJ24" s="395"/>
      <c r="SK24" s="395"/>
      <c r="SL24" s="395"/>
      <c r="SM24" s="395"/>
      <c r="SN24" s="395"/>
      <c r="SO24" s="395"/>
      <c r="SP24" s="395"/>
      <c r="SQ24" s="395"/>
      <c r="SR24" s="395"/>
      <c r="SS24" s="395"/>
      <c r="ST24" s="395"/>
      <c r="SU24" s="395"/>
      <c r="SV24" s="395"/>
      <c r="SW24" s="395"/>
      <c r="SX24" s="395"/>
      <c r="SY24" s="395"/>
      <c r="SZ24" s="395"/>
      <c r="TA24" s="395"/>
      <c r="TB24" s="395"/>
      <c r="TC24" s="395"/>
      <c r="TD24" s="395"/>
      <c r="TE24" s="395"/>
      <c r="TF24" s="395"/>
      <c r="TG24" s="395"/>
      <c r="TH24" s="395"/>
      <c r="TI24" s="395"/>
      <c r="TJ24" s="395"/>
      <c r="TK24" s="395"/>
      <c r="TL24" s="395"/>
      <c r="TM24" s="395"/>
      <c r="TN24" s="395"/>
      <c r="TO24" s="395"/>
      <c r="TP24" s="395"/>
      <c r="TQ24" s="395"/>
      <c r="TR24" s="395"/>
      <c r="TS24" s="395"/>
      <c r="TT24" s="395"/>
      <c r="TU24" s="395"/>
      <c r="TV24" s="395"/>
      <c r="TW24" s="395"/>
      <c r="TX24" s="395"/>
      <c r="TY24" s="395"/>
      <c r="TZ24" s="395"/>
      <c r="UA24" s="395"/>
      <c r="UB24" s="395"/>
      <c r="UC24" s="395"/>
      <c r="UD24" s="395"/>
      <c r="UE24" s="395"/>
      <c r="UF24" s="395"/>
      <c r="UG24" s="395"/>
      <c r="UH24" s="395"/>
      <c r="UI24" s="395"/>
      <c r="UJ24" s="395"/>
      <c r="UK24" s="395"/>
      <c r="UL24" s="395"/>
      <c r="UM24" s="395"/>
      <c r="UN24" s="395"/>
      <c r="UO24" s="395"/>
      <c r="UP24" s="395"/>
      <c r="UQ24" s="395"/>
      <c r="UR24" s="395"/>
      <c r="US24" s="395"/>
      <c r="UT24" s="395"/>
      <c r="UU24" s="395"/>
      <c r="UV24" s="395"/>
      <c r="UW24" s="395"/>
      <c r="UX24" s="395"/>
      <c r="UY24" s="395"/>
      <c r="UZ24" s="395"/>
      <c r="VA24" s="395"/>
      <c r="VB24" s="395"/>
      <c r="VC24" s="395"/>
      <c r="VD24" s="395"/>
      <c r="VE24" s="395"/>
      <c r="VF24" s="395"/>
      <c r="VG24" s="395"/>
      <c r="VH24" s="395"/>
      <c r="VI24" s="395"/>
      <c r="VJ24" s="395"/>
      <c r="VK24" s="395"/>
      <c r="VL24" s="395"/>
      <c r="VM24" s="395"/>
      <c r="VN24" s="395"/>
      <c r="VO24" s="395"/>
      <c r="VP24" s="395"/>
      <c r="VQ24" s="395"/>
      <c r="VR24" s="395"/>
      <c r="VS24" s="395"/>
      <c r="VT24" s="395"/>
      <c r="VU24" s="395"/>
      <c r="VV24" s="395"/>
      <c r="VW24" s="395"/>
      <c r="VX24" s="395"/>
      <c r="VY24" s="395"/>
      <c r="VZ24" s="395"/>
      <c r="WA24" s="395"/>
      <c r="WB24" s="395"/>
      <c r="WC24" s="395"/>
      <c r="WD24" s="395"/>
      <c r="WE24" s="395"/>
      <c r="WF24" s="395"/>
      <c r="WG24" s="395"/>
      <c r="WH24" s="395"/>
      <c r="WI24" s="395"/>
      <c r="WJ24" s="395"/>
      <c r="WK24" s="395"/>
      <c r="WL24" s="395"/>
      <c r="WM24" s="395"/>
      <c r="WN24" s="395"/>
      <c r="WO24" s="395"/>
      <c r="WP24" s="395"/>
      <c r="WQ24" s="395"/>
      <c r="WR24" s="395"/>
      <c r="WS24" s="395"/>
      <c r="WT24" s="395"/>
      <c r="WU24" s="395"/>
      <c r="WV24" s="395"/>
      <c r="WW24" s="395"/>
      <c r="WX24" s="395"/>
      <c r="WY24" s="395"/>
      <c r="WZ24" s="395"/>
      <c r="XA24" s="395"/>
      <c r="XB24" s="395"/>
      <c r="XC24" s="395"/>
      <c r="XD24" s="395"/>
      <c r="XE24" s="395"/>
      <c r="XF24" s="395"/>
      <c r="XG24" s="395"/>
      <c r="XH24" s="395"/>
      <c r="XI24" s="395"/>
      <c r="XJ24" s="395"/>
      <c r="XK24" s="395"/>
      <c r="XL24" s="395"/>
      <c r="XM24" s="395"/>
      <c r="XN24" s="395"/>
      <c r="XO24" s="395"/>
      <c r="XP24" s="395"/>
      <c r="XQ24" s="395"/>
      <c r="XR24" s="395"/>
      <c r="XS24" s="395"/>
      <c r="XT24" s="395"/>
      <c r="XU24" s="395"/>
      <c r="XV24" s="395"/>
      <c r="XW24" s="395"/>
      <c r="XX24" s="395"/>
      <c r="XY24" s="395"/>
      <c r="XZ24" s="395"/>
      <c r="YA24" s="395"/>
      <c r="YB24" s="395"/>
      <c r="YC24" s="395"/>
      <c r="YD24" s="395"/>
      <c r="YE24" s="395"/>
      <c r="YF24" s="395"/>
      <c r="YG24" s="395"/>
      <c r="YH24" s="395"/>
      <c r="YI24" s="395"/>
      <c r="YJ24" s="395"/>
      <c r="YK24" s="395"/>
      <c r="YL24" s="395"/>
      <c r="YM24" s="395"/>
      <c r="YN24" s="395"/>
      <c r="YO24" s="395"/>
      <c r="YP24" s="395"/>
      <c r="YQ24" s="395"/>
      <c r="YR24" s="395"/>
      <c r="YS24" s="395"/>
      <c r="YT24" s="395"/>
      <c r="YU24" s="395"/>
      <c r="YV24" s="395"/>
      <c r="YW24" s="395"/>
      <c r="YX24" s="395"/>
      <c r="YY24" s="395"/>
      <c r="YZ24" s="395"/>
      <c r="ZA24" s="395"/>
      <c r="ZB24" s="395"/>
      <c r="ZC24" s="395"/>
      <c r="ZD24" s="395"/>
      <c r="ZE24" s="395"/>
      <c r="ZF24" s="395"/>
      <c r="ZG24" s="395"/>
      <c r="ZH24" s="395"/>
      <c r="ZI24" s="395"/>
      <c r="ZJ24" s="395"/>
      <c r="ZK24" s="395"/>
      <c r="ZL24" s="395"/>
      <c r="ZM24" s="395"/>
      <c r="ZN24" s="395"/>
      <c r="ZO24" s="395"/>
      <c r="ZP24" s="395"/>
      <c r="ZQ24" s="395"/>
      <c r="ZR24" s="395"/>
      <c r="ZS24" s="395"/>
      <c r="ZT24" s="395"/>
      <c r="ZU24" s="395"/>
      <c r="ZV24" s="395"/>
      <c r="ZW24" s="395"/>
      <c r="ZX24" s="395"/>
      <c r="ZY24" s="395"/>
      <c r="ZZ24" s="395"/>
      <c r="AAA24" s="395"/>
      <c r="AAB24" s="395"/>
      <c r="AAC24" s="395"/>
      <c r="AAD24" s="395"/>
      <c r="AAE24" s="395"/>
      <c r="AAF24" s="395"/>
      <c r="AAG24" s="395"/>
      <c r="AAH24" s="395"/>
      <c r="AAI24" s="395"/>
      <c r="AAJ24" s="395"/>
      <c r="AAK24" s="395"/>
      <c r="AAL24" s="395"/>
      <c r="AAM24" s="395"/>
      <c r="AAN24" s="395"/>
      <c r="AAO24" s="395"/>
      <c r="AAP24" s="395"/>
      <c r="AAQ24" s="395"/>
      <c r="AAR24" s="395"/>
      <c r="AAS24" s="395"/>
      <c r="AAT24" s="395"/>
      <c r="AAU24" s="395"/>
      <c r="AAV24" s="395"/>
      <c r="AAW24" s="395"/>
      <c r="AAX24" s="395"/>
      <c r="AAY24" s="395"/>
      <c r="AAZ24" s="395"/>
      <c r="ABA24" s="395"/>
      <c r="ABB24" s="395"/>
      <c r="ABC24" s="395"/>
      <c r="ABD24" s="395"/>
      <c r="ABE24" s="395"/>
      <c r="ABF24" s="395"/>
      <c r="ABG24" s="395"/>
      <c r="ABH24" s="395"/>
      <c r="ABI24" s="395"/>
      <c r="ABJ24" s="395"/>
      <c r="ABK24" s="395"/>
      <c r="ABL24" s="395"/>
      <c r="ABM24" s="395"/>
      <c r="ABN24" s="395"/>
      <c r="ABO24" s="395"/>
      <c r="ABP24" s="395"/>
      <c r="ABQ24" s="395"/>
      <c r="ABR24" s="395"/>
      <c r="ABS24" s="395"/>
      <c r="ABT24" s="395"/>
      <c r="ABU24" s="395"/>
      <c r="ABV24" s="395"/>
      <c r="ABW24" s="395"/>
      <c r="ABX24" s="395"/>
      <c r="ABY24" s="395"/>
      <c r="ABZ24" s="395"/>
      <c r="ACA24" s="395"/>
      <c r="ACB24" s="395"/>
      <c r="ACC24" s="395"/>
      <c r="ACD24" s="395"/>
      <c r="ACE24" s="395"/>
      <c r="ACF24" s="395"/>
      <c r="ACG24" s="395"/>
    </row>
    <row r="25" spans="1:761" s="6" customFormat="1" ht="24" customHeight="1" x14ac:dyDescent="0.2">
      <c r="A25" s="948"/>
      <c r="B25" s="948"/>
      <c r="C25" s="948"/>
      <c r="D25" s="948"/>
      <c r="E25" s="948"/>
      <c r="F25" s="948"/>
      <c r="G25" s="948"/>
      <c r="H25" s="948"/>
      <c r="I25" s="78"/>
      <c r="J25" s="78"/>
      <c r="K25" s="78"/>
      <c r="L25" s="51"/>
    </row>
    <row r="26" spans="1:761" ht="14.25" x14ac:dyDescent="0.2">
      <c r="C26" s="6"/>
      <c r="D26" s="6"/>
      <c r="E26" s="6"/>
      <c r="F26" s="6"/>
      <c r="G26" s="6"/>
      <c r="H26" s="5"/>
      <c r="I26" s="5"/>
      <c r="J26" s="6"/>
      <c r="L26" s="186"/>
    </row>
    <row r="27" spans="1:761" ht="15" customHeight="1" x14ac:dyDescent="0.25">
      <c r="A27" s="973"/>
      <c r="B27" s="973"/>
      <c r="C27" s="6"/>
      <c r="D27" s="6"/>
      <c r="E27" s="6"/>
      <c r="F27" s="6"/>
      <c r="G27" s="73"/>
      <c r="H27" s="5"/>
      <c r="I27" s="6"/>
      <c r="J27" s="974"/>
      <c r="K27" s="974"/>
      <c r="L27" s="974"/>
    </row>
  </sheetData>
  <mergeCells count="18">
    <mergeCell ref="B6:C6"/>
    <mergeCell ref="K3:L3"/>
    <mergeCell ref="A27:B27"/>
    <mergeCell ref="J27:L27"/>
    <mergeCell ref="A1:L1"/>
    <mergeCell ref="A2:L2"/>
    <mergeCell ref="G4:L4"/>
    <mergeCell ref="A4:D4"/>
    <mergeCell ref="A25:H25"/>
    <mergeCell ref="J5:K5"/>
    <mergeCell ref="J6:K6"/>
    <mergeCell ref="H6:I6"/>
    <mergeCell ref="H5:I5"/>
    <mergeCell ref="F5:G5"/>
    <mergeCell ref="F6:G6"/>
    <mergeCell ref="D5:E5"/>
    <mergeCell ref="D6:E6"/>
    <mergeCell ref="B5:C5"/>
  </mergeCells>
  <phoneticPr fontId="3" type="noConversion"/>
  <printOptions horizontalCentered="1" verticalCentered="1"/>
  <pageMargins left="7.874015748031496E-2" right="0.2" top="0.78740157480314965" bottom="0.78740157480314965" header="0.78740157480314965" footer="0.43307086614173229"/>
  <pageSetup scale="93" orientation="landscape" horizontalDpi="4294967293" verticalDpi="300" r:id="rId1"/>
  <headerFooter alignWithMargins="0">
    <oddFooter>&amp;C47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P27"/>
  <sheetViews>
    <sheetView rightToLeft="1" showWhiteSpace="0" zoomScaleSheetLayoutView="100" workbookViewId="0">
      <selection activeCell="H3" sqref="H3"/>
    </sheetView>
  </sheetViews>
  <sheetFormatPr defaultRowHeight="12.75" x14ac:dyDescent="0.2"/>
  <cols>
    <col min="1" max="1" width="15.140625" customWidth="1"/>
    <col min="2" max="2" width="13.42578125" customWidth="1"/>
    <col min="3" max="3" width="13.7109375" customWidth="1"/>
    <col min="4" max="4" width="11.5703125" customWidth="1"/>
    <col min="5" max="5" width="15.42578125" customWidth="1"/>
    <col min="6" max="6" width="15.140625" customWidth="1"/>
    <col min="7" max="7" width="14" style="173" customWidth="1"/>
    <col min="8" max="8" width="19" customWidth="1"/>
    <col min="9" max="10" width="0.140625" hidden="1" customWidth="1"/>
    <col min="11" max="11" width="3.5703125" hidden="1" customWidth="1"/>
    <col min="12" max="12" width="0.5703125" hidden="1" customWidth="1"/>
    <col min="13" max="13" width="4.140625" customWidth="1"/>
    <col min="15" max="15" width="10" bestFit="1" customWidth="1"/>
    <col min="16" max="16" width="12.28515625" customWidth="1"/>
  </cols>
  <sheetData>
    <row r="1" spans="1:16" ht="21" customHeight="1" x14ac:dyDescent="0.2">
      <c r="A1" s="903" t="s">
        <v>399</v>
      </c>
      <c r="B1" s="903"/>
      <c r="C1" s="903"/>
      <c r="D1" s="903"/>
      <c r="E1" s="903"/>
      <c r="F1" s="903"/>
      <c r="G1" s="903"/>
      <c r="H1" s="903"/>
    </row>
    <row r="2" spans="1:16" ht="14.25" customHeight="1" x14ac:dyDescent="0.2">
      <c r="A2" s="911" t="s">
        <v>400</v>
      </c>
      <c r="B2" s="911"/>
      <c r="C2" s="911"/>
      <c r="D2" s="911"/>
      <c r="E2" s="911"/>
      <c r="F2" s="911"/>
      <c r="G2" s="911"/>
    </row>
    <row r="3" spans="1:16" ht="16.5" customHeight="1" x14ac:dyDescent="0.2">
      <c r="A3" s="911"/>
      <c r="B3" s="911"/>
      <c r="C3" s="911"/>
      <c r="D3" s="911"/>
      <c r="E3" s="911"/>
      <c r="F3" s="911"/>
      <c r="G3" s="911"/>
      <c r="H3" s="215" t="s">
        <v>477</v>
      </c>
    </row>
    <row r="4" spans="1:16" ht="6" customHeight="1" x14ac:dyDescent="0.25">
      <c r="A4" s="910"/>
      <c r="B4" s="910"/>
      <c r="C4" s="17"/>
      <c r="D4" s="911"/>
      <c r="E4" s="911"/>
      <c r="F4" s="911"/>
      <c r="G4" s="648"/>
      <c r="H4" s="18"/>
    </row>
    <row r="5" spans="1:16" ht="17.25" customHeight="1" thickBot="1" x14ac:dyDescent="0.3">
      <c r="A5" s="912" t="s">
        <v>369</v>
      </c>
      <c r="B5" s="912"/>
      <c r="C5" s="912"/>
      <c r="D5" s="24"/>
      <c r="E5" s="24"/>
      <c r="F5" s="909" t="s">
        <v>308</v>
      </c>
      <c r="G5" s="909"/>
      <c r="H5" s="25" t="s">
        <v>71</v>
      </c>
    </row>
    <row r="6" spans="1:16" ht="15" customHeight="1" x14ac:dyDescent="0.2">
      <c r="A6" s="26"/>
      <c r="B6" s="71" t="s">
        <v>65</v>
      </c>
      <c r="C6" s="71" t="s">
        <v>72</v>
      </c>
      <c r="D6" s="71" t="s">
        <v>73</v>
      </c>
      <c r="E6" s="71" t="s">
        <v>74</v>
      </c>
      <c r="F6" s="71" t="s">
        <v>75</v>
      </c>
      <c r="G6" s="649" t="s">
        <v>76</v>
      </c>
      <c r="H6" s="26"/>
    </row>
    <row r="7" spans="1:16" ht="38.25" customHeight="1" x14ac:dyDescent="0.25">
      <c r="A7" s="18"/>
      <c r="B7" s="74" t="s">
        <v>28</v>
      </c>
      <c r="C7" s="176" t="s">
        <v>156</v>
      </c>
      <c r="D7" s="176" t="s">
        <v>141</v>
      </c>
      <c r="E7" s="74" t="s">
        <v>132</v>
      </c>
      <c r="F7" s="74" t="s">
        <v>133</v>
      </c>
      <c r="G7" s="650" t="s">
        <v>330</v>
      </c>
      <c r="H7" s="18"/>
    </row>
    <row r="8" spans="1:16" ht="15" customHeight="1" x14ac:dyDescent="0.2">
      <c r="A8" s="26" t="s">
        <v>77</v>
      </c>
      <c r="B8" s="34" t="s">
        <v>129</v>
      </c>
      <c r="C8" s="14" t="s">
        <v>129</v>
      </c>
      <c r="D8" s="14" t="s">
        <v>129</v>
      </c>
      <c r="E8" s="34" t="s">
        <v>128</v>
      </c>
      <c r="F8" s="34" t="s">
        <v>128</v>
      </c>
      <c r="G8" s="649"/>
      <c r="H8" s="26" t="s">
        <v>26</v>
      </c>
      <c r="L8" s="6"/>
      <c r="N8" s="7"/>
      <c r="P8" s="7"/>
    </row>
    <row r="9" spans="1:16" s="395" customFormat="1" ht="15" customHeight="1" x14ac:dyDescent="0.25">
      <c r="A9" s="390" t="s">
        <v>356</v>
      </c>
      <c r="B9" s="420">
        <v>90</v>
      </c>
      <c r="C9" s="392">
        <v>898</v>
      </c>
      <c r="D9" s="392">
        <v>1</v>
      </c>
      <c r="E9" s="392">
        <v>24943</v>
      </c>
      <c r="F9" s="420">
        <v>23145</v>
      </c>
      <c r="G9" s="420">
        <v>6782773</v>
      </c>
      <c r="H9" s="397" t="s">
        <v>357</v>
      </c>
      <c r="L9" s="408"/>
      <c r="M9" s="408"/>
      <c r="N9" s="408"/>
      <c r="P9" s="408"/>
    </row>
    <row r="10" spans="1:16" s="289" customFormat="1" ht="15" customHeight="1" x14ac:dyDescent="0.25">
      <c r="A10" s="569" t="s">
        <v>30</v>
      </c>
      <c r="B10" s="600">
        <v>237</v>
      </c>
      <c r="C10" s="579">
        <v>2085</v>
      </c>
      <c r="D10" s="579">
        <v>0</v>
      </c>
      <c r="E10" s="579">
        <v>58071</v>
      </c>
      <c r="F10" s="600">
        <v>64563</v>
      </c>
      <c r="G10" s="600">
        <v>19329682</v>
      </c>
      <c r="H10" s="493" t="s">
        <v>31</v>
      </c>
      <c r="L10" s="409"/>
      <c r="M10" s="409"/>
      <c r="N10" s="409"/>
      <c r="P10" s="409"/>
    </row>
    <row r="11" spans="1:16" s="289" customFormat="1" ht="15" customHeight="1" x14ac:dyDescent="0.25">
      <c r="A11" s="390" t="s">
        <v>3</v>
      </c>
      <c r="B11" s="601">
        <v>474</v>
      </c>
      <c r="C11" s="578">
        <v>3079</v>
      </c>
      <c r="D11" s="578">
        <v>0</v>
      </c>
      <c r="E11" s="578">
        <v>124585</v>
      </c>
      <c r="F11" s="601">
        <v>99578</v>
      </c>
      <c r="G11" s="601">
        <v>26472703</v>
      </c>
      <c r="H11" s="397" t="s">
        <v>15</v>
      </c>
      <c r="L11" s="409"/>
      <c r="N11" s="409"/>
      <c r="P11" s="409"/>
    </row>
    <row r="12" spans="1:16" s="289" customFormat="1" ht="15" customHeight="1" x14ac:dyDescent="0.25">
      <c r="A12" s="569" t="s">
        <v>336</v>
      </c>
      <c r="B12" s="600">
        <v>149</v>
      </c>
      <c r="C12" s="579">
        <v>836</v>
      </c>
      <c r="D12" s="579">
        <v>1</v>
      </c>
      <c r="E12" s="579">
        <v>42708</v>
      </c>
      <c r="F12" s="600">
        <v>34968</v>
      </c>
      <c r="G12" s="600">
        <v>13148470</v>
      </c>
      <c r="H12" s="493" t="s">
        <v>337</v>
      </c>
      <c r="L12" s="409"/>
      <c r="N12" s="409"/>
      <c r="P12" s="409"/>
    </row>
    <row r="13" spans="1:16" s="289" customFormat="1" ht="15" customHeight="1" x14ac:dyDescent="0.25">
      <c r="A13" s="390" t="s">
        <v>4</v>
      </c>
      <c r="B13" s="601">
        <v>1672</v>
      </c>
      <c r="C13" s="578">
        <v>14066</v>
      </c>
      <c r="D13" s="578">
        <v>15</v>
      </c>
      <c r="E13" s="578">
        <v>475788</v>
      </c>
      <c r="F13" s="601">
        <v>520483</v>
      </c>
      <c r="G13" s="601">
        <v>202628439</v>
      </c>
      <c r="H13" s="393" t="s">
        <v>16</v>
      </c>
      <c r="L13" s="409"/>
      <c r="N13" s="409"/>
      <c r="P13" s="409"/>
    </row>
    <row r="14" spans="1:16" s="289" customFormat="1" ht="15" customHeight="1" x14ac:dyDescent="0.25">
      <c r="A14" s="569" t="s">
        <v>5</v>
      </c>
      <c r="B14" s="600">
        <v>419</v>
      </c>
      <c r="C14" s="579">
        <v>2804</v>
      </c>
      <c r="D14" s="579">
        <v>1</v>
      </c>
      <c r="E14" s="579">
        <v>110276</v>
      </c>
      <c r="F14" s="600">
        <v>87930</v>
      </c>
      <c r="G14" s="600">
        <v>34076583</v>
      </c>
      <c r="H14" s="493" t="s">
        <v>23</v>
      </c>
      <c r="L14" s="409"/>
      <c r="N14" s="409"/>
      <c r="P14" s="409"/>
    </row>
    <row r="15" spans="1:16" s="289" customFormat="1" ht="15" customHeight="1" x14ac:dyDescent="0.25">
      <c r="A15" s="390" t="s">
        <v>6</v>
      </c>
      <c r="B15" s="601">
        <v>379</v>
      </c>
      <c r="C15" s="578">
        <v>2625</v>
      </c>
      <c r="D15" s="578">
        <v>0</v>
      </c>
      <c r="E15" s="578">
        <v>88791</v>
      </c>
      <c r="F15" s="601">
        <v>79402</v>
      </c>
      <c r="G15" s="601">
        <v>26461156</v>
      </c>
      <c r="H15" s="393" t="s">
        <v>24</v>
      </c>
      <c r="L15" s="409"/>
      <c r="N15" s="409"/>
      <c r="P15" s="409"/>
    </row>
    <row r="16" spans="1:16" s="289" customFormat="1" ht="14.25" customHeight="1" x14ac:dyDescent="0.25">
      <c r="A16" s="569" t="s">
        <v>11</v>
      </c>
      <c r="B16" s="600">
        <v>171</v>
      </c>
      <c r="C16" s="579">
        <v>1265</v>
      </c>
      <c r="D16" s="579">
        <v>0</v>
      </c>
      <c r="E16" s="579">
        <v>53492</v>
      </c>
      <c r="F16" s="600">
        <v>44024</v>
      </c>
      <c r="G16" s="600">
        <v>12988424</v>
      </c>
      <c r="H16" s="493" t="s">
        <v>21</v>
      </c>
      <c r="L16" s="409"/>
      <c r="N16" s="409"/>
      <c r="P16" s="409"/>
    </row>
    <row r="17" spans="1:16" s="410" customFormat="1" ht="15" customHeight="1" x14ac:dyDescent="0.25">
      <c r="A17" s="590" t="s">
        <v>2</v>
      </c>
      <c r="B17" s="602">
        <v>155</v>
      </c>
      <c r="C17" s="603">
        <v>833</v>
      </c>
      <c r="D17" s="603">
        <v>1</v>
      </c>
      <c r="E17" s="603">
        <v>45285</v>
      </c>
      <c r="F17" s="602">
        <v>30890</v>
      </c>
      <c r="G17" s="602">
        <v>10106434</v>
      </c>
      <c r="H17" s="393" t="s">
        <v>14</v>
      </c>
      <c r="L17" s="411"/>
      <c r="N17" s="411"/>
      <c r="P17" s="411"/>
    </row>
    <row r="18" spans="1:16" s="289" customFormat="1" ht="18" customHeight="1" x14ac:dyDescent="0.25">
      <c r="A18" s="569" t="s">
        <v>7</v>
      </c>
      <c r="B18" s="600">
        <v>714</v>
      </c>
      <c r="C18" s="579">
        <v>3936</v>
      </c>
      <c r="D18" s="579">
        <v>7</v>
      </c>
      <c r="E18" s="579">
        <v>170070</v>
      </c>
      <c r="F18" s="600">
        <v>119707</v>
      </c>
      <c r="G18" s="600">
        <v>52933317</v>
      </c>
      <c r="H18" s="493" t="s">
        <v>17</v>
      </c>
      <c r="L18" s="409"/>
      <c r="N18" s="409"/>
      <c r="P18" s="409"/>
    </row>
    <row r="19" spans="1:16" s="289" customFormat="1" ht="15" customHeight="1" x14ac:dyDescent="0.25">
      <c r="A19" s="390" t="s">
        <v>8</v>
      </c>
      <c r="B19" s="601">
        <v>468</v>
      </c>
      <c r="C19" s="578">
        <v>2670</v>
      </c>
      <c r="D19" s="578">
        <v>0</v>
      </c>
      <c r="E19" s="578">
        <v>124442</v>
      </c>
      <c r="F19" s="601">
        <v>83761</v>
      </c>
      <c r="G19" s="601">
        <v>26824067</v>
      </c>
      <c r="H19" s="393" t="s">
        <v>18</v>
      </c>
      <c r="L19" s="409"/>
      <c r="N19" s="409"/>
      <c r="P19" s="409"/>
    </row>
    <row r="20" spans="1:16" s="289" customFormat="1" ht="15" customHeight="1" x14ac:dyDescent="0.25">
      <c r="A20" s="569" t="s">
        <v>9</v>
      </c>
      <c r="B20" s="600">
        <v>279</v>
      </c>
      <c r="C20" s="579">
        <v>1405</v>
      </c>
      <c r="D20" s="579">
        <v>1</v>
      </c>
      <c r="E20" s="579">
        <v>67708</v>
      </c>
      <c r="F20" s="600">
        <v>53972</v>
      </c>
      <c r="G20" s="600">
        <v>202805016</v>
      </c>
      <c r="H20" s="493" t="s">
        <v>19</v>
      </c>
      <c r="L20" s="409"/>
      <c r="N20" s="409"/>
      <c r="P20" s="409"/>
    </row>
    <row r="21" spans="1:16" s="289" customFormat="1" ht="15" customHeight="1" x14ac:dyDescent="0.25">
      <c r="A21" s="390" t="s">
        <v>10</v>
      </c>
      <c r="B21" s="601">
        <v>418</v>
      </c>
      <c r="C21" s="578">
        <v>2313</v>
      </c>
      <c r="D21" s="578">
        <v>1</v>
      </c>
      <c r="E21" s="578">
        <v>97370</v>
      </c>
      <c r="F21" s="601">
        <v>74458</v>
      </c>
      <c r="G21" s="601">
        <v>18963365</v>
      </c>
      <c r="H21" s="393" t="s">
        <v>20</v>
      </c>
      <c r="L21" s="409"/>
      <c r="N21" s="409"/>
      <c r="P21" s="409"/>
    </row>
    <row r="22" spans="1:16" s="289" customFormat="1" ht="15" customHeight="1" x14ac:dyDescent="0.25">
      <c r="A22" s="569" t="s">
        <v>12</v>
      </c>
      <c r="B22" s="600">
        <v>128</v>
      </c>
      <c r="C22" s="579">
        <v>644</v>
      </c>
      <c r="D22" s="579">
        <v>0</v>
      </c>
      <c r="E22" s="579">
        <v>28903</v>
      </c>
      <c r="F22" s="600">
        <v>23415</v>
      </c>
      <c r="G22" s="600">
        <v>7079865</v>
      </c>
      <c r="H22" s="493" t="s">
        <v>25</v>
      </c>
      <c r="L22" s="409"/>
      <c r="N22" s="409"/>
      <c r="P22" s="409"/>
    </row>
    <row r="23" spans="1:16" s="289" customFormat="1" ht="14.25" customHeight="1" thickBot="1" x14ac:dyDescent="0.3">
      <c r="A23" s="390" t="s">
        <v>13</v>
      </c>
      <c r="B23" s="601">
        <v>316</v>
      </c>
      <c r="C23" s="578">
        <v>1760</v>
      </c>
      <c r="D23" s="578">
        <v>0</v>
      </c>
      <c r="E23" s="578">
        <v>76746</v>
      </c>
      <c r="F23" s="601">
        <v>78420</v>
      </c>
      <c r="G23" s="601">
        <v>30886018</v>
      </c>
      <c r="H23" s="393" t="s">
        <v>22</v>
      </c>
      <c r="K23" s="409"/>
      <c r="L23" s="409"/>
      <c r="N23" s="409"/>
      <c r="O23" s="409"/>
      <c r="P23" s="409"/>
    </row>
    <row r="24" spans="1:16" s="802" customFormat="1" ht="15" customHeight="1" thickTop="1" thickBot="1" x14ac:dyDescent="0.25">
      <c r="A24" s="726" t="s">
        <v>0</v>
      </c>
      <c r="B24" s="727">
        <f t="shared" ref="B24:G24" si="0">SUM(B9:B23)</f>
        <v>6069</v>
      </c>
      <c r="C24" s="727">
        <f t="shared" si="0"/>
        <v>41219</v>
      </c>
      <c r="D24" s="727">
        <f t="shared" si="0"/>
        <v>28</v>
      </c>
      <c r="E24" s="727">
        <f t="shared" si="0"/>
        <v>1589178</v>
      </c>
      <c r="F24" s="727">
        <f t="shared" si="0"/>
        <v>1418716</v>
      </c>
      <c r="G24" s="804">
        <f t="shared" si="0"/>
        <v>691486312</v>
      </c>
      <c r="H24" s="728" t="s">
        <v>1</v>
      </c>
      <c r="L24" s="803"/>
      <c r="N24" s="803"/>
      <c r="P24" s="803"/>
    </row>
    <row r="25" spans="1:16" ht="18" customHeight="1" thickTop="1" x14ac:dyDescent="0.2">
      <c r="A25" s="908"/>
      <c r="B25" s="908"/>
      <c r="C25" s="908"/>
      <c r="D25" s="908"/>
      <c r="L25" s="5"/>
      <c r="N25" s="5"/>
      <c r="P25" s="5"/>
    </row>
    <row r="26" spans="1:16" ht="15.75" customHeight="1" x14ac:dyDescent="0.25">
      <c r="B26" s="6"/>
      <c r="C26" s="22"/>
      <c r="D26" s="22"/>
      <c r="E26" s="22"/>
      <c r="F26" s="22"/>
      <c r="G26" s="651"/>
      <c r="H26" s="6"/>
      <c r="P26" s="5"/>
    </row>
    <row r="27" spans="1:16" ht="16.5" customHeight="1" x14ac:dyDescent="0.2">
      <c r="C27" s="6"/>
      <c r="D27" s="5"/>
      <c r="E27" s="5"/>
      <c r="I27" s="6"/>
    </row>
  </sheetData>
  <mergeCells count="7">
    <mergeCell ref="A25:D25"/>
    <mergeCell ref="A1:H1"/>
    <mergeCell ref="F5:G5"/>
    <mergeCell ref="A4:B4"/>
    <mergeCell ref="D4:F4"/>
    <mergeCell ref="A5:C5"/>
    <mergeCell ref="A2:G3"/>
  </mergeCells>
  <phoneticPr fontId="3" type="noConversion"/>
  <printOptions horizontalCentered="1" verticalCentered="1"/>
  <pageMargins left="0.71" right="1.06" top="1.0374015750000001" bottom="0.98425196850393704" header="0.78740157480314998" footer="0.511811023622047"/>
  <pageSetup orientation="landscape" horizontalDpi="4294967293" verticalDpi="300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27"/>
  <sheetViews>
    <sheetView rightToLeft="1" zoomScaleSheetLayoutView="106" workbookViewId="0">
      <selection activeCell="A4" sqref="A4:B4"/>
    </sheetView>
  </sheetViews>
  <sheetFormatPr defaultRowHeight="12.75" x14ac:dyDescent="0.2"/>
  <cols>
    <col min="1" max="1" width="11.140625" customWidth="1"/>
    <col min="2" max="2" width="11.7109375" customWidth="1"/>
    <col min="3" max="3" width="14" customWidth="1"/>
    <col min="4" max="4" width="16.28515625" customWidth="1"/>
    <col min="5" max="5" width="15.140625" customWidth="1"/>
    <col min="6" max="6" width="14.140625" customWidth="1"/>
    <col min="7" max="7" width="14.42578125" customWidth="1"/>
    <col min="8" max="8" width="16.85546875" customWidth="1"/>
    <col min="9" max="9" width="9.140625" hidden="1" customWidth="1"/>
    <col min="10" max="10" width="4.140625" hidden="1" customWidth="1"/>
    <col min="11" max="13" width="9.140625" hidden="1" customWidth="1"/>
    <col min="14" max="14" width="4.140625" hidden="1" customWidth="1"/>
    <col min="15" max="17" width="9.140625" hidden="1" customWidth="1"/>
  </cols>
  <sheetData>
    <row r="1" spans="1:8" ht="15" customHeight="1" x14ac:dyDescent="0.2">
      <c r="A1" s="903" t="s">
        <v>444</v>
      </c>
      <c r="B1" s="903"/>
      <c r="C1" s="903"/>
      <c r="D1" s="903"/>
      <c r="E1" s="903"/>
      <c r="F1" s="903"/>
      <c r="G1" s="903"/>
      <c r="H1" s="903"/>
    </row>
    <row r="2" spans="1:8" ht="17.25" customHeight="1" x14ac:dyDescent="0.2">
      <c r="A2" s="905" t="s">
        <v>445</v>
      </c>
      <c r="B2" s="905"/>
      <c r="C2" s="905"/>
      <c r="D2" s="905"/>
      <c r="E2" s="905"/>
      <c r="F2" s="905"/>
      <c r="G2" s="905"/>
      <c r="H2" s="905"/>
    </row>
    <row r="3" spans="1:8" s="6" customFormat="1" ht="27" customHeight="1" x14ac:dyDescent="0.25">
      <c r="A3" s="204"/>
      <c r="B3" s="204"/>
      <c r="C3" s="204"/>
      <c r="D3" s="204"/>
      <c r="E3" s="204"/>
      <c r="F3" s="204"/>
      <c r="G3" s="204"/>
      <c r="H3" s="268"/>
    </row>
    <row r="4" spans="1:8" ht="31.5" customHeight="1" thickBot="1" x14ac:dyDescent="0.3">
      <c r="A4" s="968" t="s">
        <v>491</v>
      </c>
      <c r="B4" s="968"/>
      <c r="C4" s="113" t="s">
        <v>379</v>
      </c>
      <c r="D4" s="18"/>
      <c r="E4" s="18"/>
      <c r="F4" s="953" t="s">
        <v>174</v>
      </c>
      <c r="G4" s="953"/>
      <c r="H4" s="224" t="s">
        <v>314</v>
      </c>
    </row>
    <row r="5" spans="1:8" ht="15" customHeight="1" x14ac:dyDescent="0.25">
      <c r="A5" s="38"/>
      <c r="B5" s="945" t="s">
        <v>63</v>
      </c>
      <c r="C5" s="945"/>
      <c r="D5" s="150" t="s">
        <v>169</v>
      </c>
      <c r="E5" s="150"/>
      <c r="F5" s="632" t="s">
        <v>64</v>
      </c>
      <c r="G5" s="111"/>
      <c r="H5" s="38"/>
    </row>
    <row r="6" spans="1:8" s="6" customFormat="1" ht="15" customHeight="1" x14ac:dyDescent="0.25">
      <c r="A6" s="42"/>
      <c r="B6" s="903" t="s">
        <v>325</v>
      </c>
      <c r="C6" s="903"/>
      <c r="D6" s="52" t="s">
        <v>244</v>
      </c>
      <c r="E6" s="52"/>
      <c r="F6" s="630" t="s">
        <v>294</v>
      </c>
      <c r="G6" s="31"/>
      <c r="H6" s="42"/>
    </row>
    <row r="7" spans="1:8" ht="15" customHeight="1" x14ac:dyDescent="0.2">
      <c r="A7" s="364"/>
      <c r="B7" s="363" t="s">
        <v>65</v>
      </c>
      <c r="C7" s="363" t="s">
        <v>224</v>
      </c>
      <c r="D7" s="363" t="s">
        <v>235</v>
      </c>
      <c r="E7" s="363" t="s">
        <v>224</v>
      </c>
      <c r="F7" s="363" t="s">
        <v>193</v>
      </c>
      <c r="G7" s="363" t="s">
        <v>224</v>
      </c>
      <c r="H7" s="364"/>
    </row>
    <row r="8" spans="1:8" ht="15" customHeight="1" thickBot="1" x14ac:dyDescent="0.25">
      <c r="A8" s="343" t="s">
        <v>50</v>
      </c>
      <c r="B8" s="346" t="s">
        <v>129</v>
      </c>
      <c r="C8" s="326" t="s">
        <v>29</v>
      </c>
      <c r="D8" s="326" t="s">
        <v>236</v>
      </c>
      <c r="E8" s="326" t="s">
        <v>29</v>
      </c>
      <c r="F8" s="326" t="s">
        <v>237</v>
      </c>
      <c r="G8" s="326" t="s">
        <v>29</v>
      </c>
      <c r="H8" s="343" t="s">
        <v>26</v>
      </c>
    </row>
    <row r="9" spans="1:8" s="472" customFormat="1" ht="15" customHeight="1" x14ac:dyDescent="0.2">
      <c r="A9" s="553" t="s">
        <v>356</v>
      </c>
      <c r="B9" s="554">
        <v>1032</v>
      </c>
      <c r="C9" s="538">
        <v>58360</v>
      </c>
      <c r="D9" s="554">
        <v>12991</v>
      </c>
      <c r="E9" s="539">
        <v>96599</v>
      </c>
      <c r="F9" s="539">
        <v>88</v>
      </c>
      <c r="G9" s="538">
        <v>29704</v>
      </c>
      <c r="H9" s="555" t="s">
        <v>357</v>
      </c>
    </row>
    <row r="10" spans="1:8" s="289" customFormat="1" ht="15" customHeight="1" x14ac:dyDescent="0.2">
      <c r="A10" s="473" t="s">
        <v>30</v>
      </c>
      <c r="B10" s="456">
        <v>5045</v>
      </c>
      <c r="C10" s="456">
        <v>168728</v>
      </c>
      <c r="D10" s="456">
        <v>25406</v>
      </c>
      <c r="E10" s="457">
        <v>159891</v>
      </c>
      <c r="F10" s="457">
        <v>360</v>
      </c>
      <c r="G10" s="456">
        <v>152912</v>
      </c>
      <c r="H10" s="461" t="s">
        <v>31</v>
      </c>
    </row>
    <row r="11" spans="1:8" s="289" customFormat="1" ht="15" customHeight="1" x14ac:dyDescent="0.2">
      <c r="A11" s="556" t="s">
        <v>3</v>
      </c>
      <c r="B11" s="538">
        <v>8168</v>
      </c>
      <c r="C11" s="538">
        <v>100862</v>
      </c>
      <c r="D11" s="538">
        <v>45524</v>
      </c>
      <c r="E11" s="539">
        <v>185601</v>
      </c>
      <c r="F11" s="539">
        <v>0</v>
      </c>
      <c r="G11" s="539">
        <v>0</v>
      </c>
      <c r="H11" s="543" t="s">
        <v>15</v>
      </c>
    </row>
    <row r="12" spans="1:8" s="289" customFormat="1" ht="15" customHeight="1" x14ac:dyDescent="0.2">
      <c r="A12" s="473" t="s">
        <v>342</v>
      </c>
      <c r="B12" s="456">
        <v>2295</v>
      </c>
      <c r="C12" s="456">
        <v>134374</v>
      </c>
      <c r="D12" s="456">
        <v>22123</v>
      </c>
      <c r="E12" s="457">
        <v>113582</v>
      </c>
      <c r="F12" s="457">
        <v>0</v>
      </c>
      <c r="G12" s="457">
        <v>0</v>
      </c>
      <c r="H12" s="461" t="s">
        <v>337</v>
      </c>
    </row>
    <row r="13" spans="1:8" s="289" customFormat="1" ht="15" customHeight="1" x14ac:dyDescent="0.2">
      <c r="A13" s="556" t="s">
        <v>4</v>
      </c>
      <c r="B13" s="538">
        <v>64817</v>
      </c>
      <c r="C13" s="538">
        <v>1936218</v>
      </c>
      <c r="D13" s="538">
        <v>117771</v>
      </c>
      <c r="E13" s="539">
        <v>652821</v>
      </c>
      <c r="F13" s="539">
        <v>0</v>
      </c>
      <c r="G13" s="539">
        <v>0</v>
      </c>
      <c r="H13" s="543" t="s">
        <v>16</v>
      </c>
    </row>
    <row r="14" spans="1:8" s="289" customFormat="1" ht="15" customHeight="1" x14ac:dyDescent="0.2">
      <c r="A14" s="473" t="s">
        <v>5</v>
      </c>
      <c r="B14" s="456">
        <v>6975</v>
      </c>
      <c r="C14" s="456">
        <v>326827</v>
      </c>
      <c r="D14" s="456">
        <v>45543</v>
      </c>
      <c r="E14" s="457">
        <v>196658</v>
      </c>
      <c r="F14" s="457">
        <v>0</v>
      </c>
      <c r="G14" s="457">
        <v>0</v>
      </c>
      <c r="H14" s="461" t="s">
        <v>23</v>
      </c>
    </row>
    <row r="15" spans="1:8" s="289" customFormat="1" ht="15" customHeight="1" x14ac:dyDescent="0.2">
      <c r="A15" s="556" t="s">
        <v>6</v>
      </c>
      <c r="B15" s="538">
        <v>9078</v>
      </c>
      <c r="C15" s="538">
        <v>324816</v>
      </c>
      <c r="D15" s="538">
        <v>17000</v>
      </c>
      <c r="E15" s="539">
        <v>79522</v>
      </c>
      <c r="F15" s="539">
        <v>0</v>
      </c>
      <c r="G15" s="539">
        <v>0</v>
      </c>
      <c r="H15" s="543" t="s">
        <v>24</v>
      </c>
    </row>
    <row r="16" spans="1:8" s="289" customFormat="1" ht="15" customHeight="1" x14ac:dyDescent="0.2">
      <c r="A16" s="473" t="s">
        <v>11</v>
      </c>
      <c r="B16" s="456">
        <v>3474</v>
      </c>
      <c r="C16" s="456">
        <v>104399</v>
      </c>
      <c r="D16" s="456">
        <v>15394</v>
      </c>
      <c r="E16" s="457">
        <v>63597</v>
      </c>
      <c r="F16" s="457">
        <v>0</v>
      </c>
      <c r="G16" s="457">
        <v>0</v>
      </c>
      <c r="H16" s="461" t="s">
        <v>21</v>
      </c>
    </row>
    <row r="17" spans="1:9" s="289" customFormat="1" ht="15" customHeight="1" x14ac:dyDescent="0.2">
      <c r="A17" s="556" t="s">
        <v>2</v>
      </c>
      <c r="B17" s="538">
        <v>2718</v>
      </c>
      <c r="C17" s="538">
        <v>69822</v>
      </c>
      <c r="D17" s="538">
        <v>17906</v>
      </c>
      <c r="E17" s="539">
        <v>167138</v>
      </c>
      <c r="F17" s="539">
        <v>0</v>
      </c>
      <c r="G17" s="539">
        <v>0</v>
      </c>
      <c r="H17" s="543" t="s">
        <v>14</v>
      </c>
    </row>
    <row r="18" spans="1:9" s="289" customFormat="1" ht="15" customHeight="1" x14ac:dyDescent="0.2">
      <c r="A18" s="473" t="s">
        <v>7</v>
      </c>
      <c r="B18" s="456">
        <v>12340</v>
      </c>
      <c r="C18" s="456">
        <v>316864</v>
      </c>
      <c r="D18" s="456">
        <v>16038</v>
      </c>
      <c r="E18" s="457">
        <v>84666</v>
      </c>
      <c r="F18" s="457">
        <v>0</v>
      </c>
      <c r="G18" s="457">
        <v>0</v>
      </c>
      <c r="H18" s="461" t="s">
        <v>17</v>
      </c>
    </row>
    <row r="19" spans="1:9" s="289" customFormat="1" ht="15" customHeight="1" x14ac:dyDescent="0.2">
      <c r="A19" s="556" t="s">
        <v>8</v>
      </c>
      <c r="B19" s="538">
        <v>8411</v>
      </c>
      <c r="C19" s="538">
        <v>163907</v>
      </c>
      <c r="D19" s="538">
        <v>41345</v>
      </c>
      <c r="E19" s="539">
        <v>125733</v>
      </c>
      <c r="F19" s="539">
        <v>0</v>
      </c>
      <c r="G19" s="539">
        <v>0</v>
      </c>
      <c r="H19" s="543" t="s">
        <v>18</v>
      </c>
    </row>
    <row r="20" spans="1:9" s="289" customFormat="1" ht="15" customHeight="1" x14ac:dyDescent="0.2">
      <c r="A20" s="473" t="s">
        <v>9</v>
      </c>
      <c r="B20" s="456">
        <v>5262</v>
      </c>
      <c r="C20" s="456">
        <v>133953</v>
      </c>
      <c r="D20" s="456">
        <v>67462</v>
      </c>
      <c r="E20" s="457">
        <v>186983</v>
      </c>
      <c r="F20" s="457">
        <v>0</v>
      </c>
      <c r="G20" s="457">
        <v>0</v>
      </c>
      <c r="H20" s="461" t="s">
        <v>19</v>
      </c>
    </row>
    <row r="21" spans="1:9" s="289" customFormat="1" ht="15" customHeight="1" x14ac:dyDescent="0.2">
      <c r="A21" s="556" t="s">
        <v>10</v>
      </c>
      <c r="B21" s="538">
        <v>5063</v>
      </c>
      <c r="C21" s="538">
        <v>139322</v>
      </c>
      <c r="D21" s="538">
        <v>57720</v>
      </c>
      <c r="E21" s="539">
        <v>173229</v>
      </c>
      <c r="F21" s="539">
        <v>0</v>
      </c>
      <c r="G21" s="539">
        <v>0</v>
      </c>
      <c r="H21" s="543" t="s">
        <v>20</v>
      </c>
    </row>
    <row r="22" spans="1:9" s="289" customFormat="1" ht="15" customHeight="1" x14ac:dyDescent="0.2">
      <c r="A22" s="473" t="s">
        <v>12</v>
      </c>
      <c r="B22" s="456">
        <v>1167</v>
      </c>
      <c r="C22" s="456">
        <v>29200</v>
      </c>
      <c r="D22" s="456">
        <v>9551</v>
      </c>
      <c r="E22" s="457">
        <v>27717</v>
      </c>
      <c r="F22" s="457">
        <v>0</v>
      </c>
      <c r="G22" s="457">
        <v>0</v>
      </c>
      <c r="H22" s="461" t="s">
        <v>25</v>
      </c>
    </row>
    <row r="23" spans="1:9" s="289" customFormat="1" ht="15" customHeight="1" thickBot="1" x14ac:dyDescent="0.25">
      <c r="A23" s="556" t="s">
        <v>13</v>
      </c>
      <c r="B23" s="538">
        <v>6444</v>
      </c>
      <c r="C23" s="538">
        <v>242503</v>
      </c>
      <c r="D23" s="538">
        <v>29546</v>
      </c>
      <c r="E23" s="539">
        <v>176201</v>
      </c>
      <c r="F23" s="539">
        <v>0</v>
      </c>
      <c r="G23" s="539">
        <v>0</v>
      </c>
      <c r="H23" s="543" t="s">
        <v>22</v>
      </c>
    </row>
    <row r="24" spans="1:9" s="151" customFormat="1" ht="15.75" customHeight="1" thickTop="1" thickBot="1" x14ac:dyDescent="0.25">
      <c r="A24" s="798" t="s">
        <v>0</v>
      </c>
      <c r="B24" s="799">
        <v>142289</v>
      </c>
      <c r="C24" s="799">
        <v>4250155</v>
      </c>
      <c r="D24" s="799">
        <v>541320</v>
      </c>
      <c r="E24" s="799">
        <v>2489938</v>
      </c>
      <c r="F24" s="799">
        <v>448</v>
      </c>
      <c r="G24" s="800">
        <v>182616</v>
      </c>
      <c r="H24" s="796" t="s">
        <v>1</v>
      </c>
    </row>
    <row r="25" spans="1:9" s="6" customFormat="1" ht="15.75" customHeight="1" thickTop="1" x14ac:dyDescent="0.2">
      <c r="A25" s="948"/>
      <c r="B25" s="948"/>
      <c r="C25" s="948"/>
      <c r="D25" s="948"/>
      <c r="E25" s="948"/>
      <c r="F25" s="948"/>
      <c r="G25" s="78"/>
      <c r="H25" s="51"/>
    </row>
    <row r="26" spans="1:9" ht="14.25" x14ac:dyDescent="0.2">
      <c r="C26" s="6"/>
      <c r="D26" s="6"/>
      <c r="E26" s="6"/>
      <c r="F26" s="5"/>
      <c r="G26" s="5"/>
      <c r="H26" s="186"/>
    </row>
    <row r="27" spans="1:9" ht="15" customHeight="1" x14ac:dyDescent="0.25">
      <c r="A27" s="973"/>
      <c r="B27" s="973"/>
      <c r="C27" s="6"/>
      <c r="D27" s="6"/>
      <c r="E27" s="73"/>
      <c r="F27" s="5"/>
      <c r="G27" s="6"/>
      <c r="H27" s="269"/>
      <c r="I27" s="51"/>
    </row>
  </sheetData>
  <mergeCells count="8">
    <mergeCell ref="A27:B27"/>
    <mergeCell ref="A1:H1"/>
    <mergeCell ref="A2:H2"/>
    <mergeCell ref="F4:G4"/>
    <mergeCell ref="A4:B4"/>
    <mergeCell ref="B5:C5"/>
    <mergeCell ref="B6:C6"/>
    <mergeCell ref="A25:F25"/>
  </mergeCells>
  <phoneticPr fontId="3" type="noConversion"/>
  <printOptions horizontalCentered="1" verticalCentered="1"/>
  <pageMargins left="0.19685039370078741" right="0.54" top="0" bottom="0.98425196850393704" header="0.78740157480314965" footer="0.51181102362204722"/>
  <pageSetup orientation="landscape" verticalDpi="300" r:id="rId1"/>
  <headerFooter alignWithMargins="0">
    <oddFooter>&amp;C48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O30"/>
  <sheetViews>
    <sheetView rightToLeft="1" zoomScaleSheetLayoutView="100" workbookViewId="0">
      <selection activeCell="J29" sqref="J29"/>
    </sheetView>
  </sheetViews>
  <sheetFormatPr defaultRowHeight="12.75" x14ac:dyDescent="0.2"/>
  <cols>
    <col min="1" max="1" width="9.85546875" customWidth="1"/>
    <col min="2" max="2" width="9.140625" customWidth="1"/>
    <col min="3" max="3" width="11.42578125" customWidth="1"/>
    <col min="4" max="4" width="13.42578125" customWidth="1"/>
    <col min="5" max="5" width="13.7109375" customWidth="1"/>
    <col min="6" max="6" width="12.7109375" customWidth="1"/>
    <col min="7" max="7" width="12.5703125" customWidth="1"/>
    <col min="8" max="8" width="15.28515625" style="6" customWidth="1"/>
    <col min="9" max="9" width="17.5703125" style="6" customWidth="1"/>
    <col min="10" max="10" width="17.140625" customWidth="1"/>
    <col min="11" max="11" width="0.42578125" hidden="1" customWidth="1"/>
  </cols>
  <sheetData>
    <row r="1" spans="1:12" ht="15" x14ac:dyDescent="0.2">
      <c r="A1" s="903" t="s">
        <v>442</v>
      </c>
      <c r="B1" s="903"/>
      <c r="C1" s="903"/>
      <c r="D1" s="903"/>
      <c r="E1" s="903"/>
      <c r="F1" s="903"/>
      <c r="G1" s="903"/>
      <c r="H1" s="903"/>
      <c r="I1" s="903"/>
      <c r="J1" s="903"/>
    </row>
    <row r="2" spans="1:12" ht="12.75" customHeight="1" x14ac:dyDescent="0.2">
      <c r="A2" s="905" t="s">
        <v>443</v>
      </c>
      <c r="B2" s="905"/>
      <c r="C2" s="905"/>
      <c r="D2" s="905"/>
      <c r="E2" s="905"/>
      <c r="F2" s="905"/>
      <c r="G2" s="905"/>
      <c r="H2" s="905"/>
      <c r="I2" s="905"/>
      <c r="J2" s="905"/>
    </row>
    <row r="3" spans="1:12" s="6" customFormat="1" ht="12.75" customHeight="1" x14ac:dyDescent="0.2">
      <c r="A3" s="204"/>
      <c r="B3" s="204"/>
      <c r="C3" s="204"/>
      <c r="D3" s="204"/>
      <c r="E3" s="204"/>
      <c r="F3" s="204"/>
      <c r="G3" s="204"/>
      <c r="H3" s="270"/>
      <c r="I3" s="270"/>
      <c r="J3" s="204"/>
    </row>
    <row r="4" spans="1:12" ht="63" customHeight="1" thickBot="1" x14ac:dyDescent="0.25">
      <c r="A4" s="968" t="s">
        <v>485</v>
      </c>
      <c r="B4" s="968"/>
      <c r="C4" s="1019" t="s">
        <v>173</v>
      </c>
      <c r="D4" s="1019"/>
      <c r="E4" s="1019"/>
      <c r="F4" s="935" t="s">
        <v>174</v>
      </c>
      <c r="G4" s="935"/>
      <c r="H4" s="271"/>
      <c r="I4" s="271"/>
      <c r="J4" s="224" t="s">
        <v>314</v>
      </c>
    </row>
    <row r="5" spans="1:12" ht="21" customHeight="1" x14ac:dyDescent="0.25">
      <c r="A5" s="38"/>
      <c r="B5" s="945" t="s">
        <v>480</v>
      </c>
      <c r="C5" s="945"/>
      <c r="D5" s="945" t="s">
        <v>238</v>
      </c>
      <c r="E5" s="945"/>
      <c r="F5" s="945" t="s">
        <v>246</v>
      </c>
      <c r="G5" s="945"/>
      <c r="H5" s="945" t="s">
        <v>0</v>
      </c>
      <c r="I5" s="945"/>
      <c r="J5" s="38"/>
    </row>
    <row r="6" spans="1:12" s="151" customFormat="1" ht="34.5" customHeight="1" x14ac:dyDescent="0.25">
      <c r="A6" s="155"/>
      <c r="B6" s="924" t="s">
        <v>245</v>
      </c>
      <c r="C6" s="924"/>
      <c r="D6" s="924" t="s">
        <v>276</v>
      </c>
      <c r="E6" s="924"/>
      <c r="F6" s="1018" t="s">
        <v>326</v>
      </c>
      <c r="G6" s="1018"/>
      <c r="H6" s="1018" t="s">
        <v>105</v>
      </c>
      <c r="I6" s="1018"/>
      <c r="J6" s="57" t="s">
        <v>477</v>
      </c>
      <c r="K6" s="218"/>
    </row>
    <row r="7" spans="1:12" ht="25.5" customHeight="1" thickBot="1" x14ac:dyDescent="0.3">
      <c r="A7" s="155"/>
      <c r="B7" s="362" t="s">
        <v>189</v>
      </c>
      <c r="C7" s="362" t="s">
        <v>224</v>
      </c>
      <c r="D7" s="362" t="s">
        <v>42</v>
      </c>
      <c r="E7" s="362" t="s">
        <v>224</v>
      </c>
      <c r="F7" s="362" t="s">
        <v>189</v>
      </c>
      <c r="G7" s="362" t="s">
        <v>224</v>
      </c>
      <c r="H7" s="631" t="s">
        <v>189</v>
      </c>
      <c r="I7" s="631" t="s">
        <v>397</v>
      </c>
      <c r="J7" s="41"/>
    </row>
    <row r="8" spans="1:12" s="3" customFormat="1" ht="29.25" customHeight="1" thickBot="1" x14ac:dyDescent="0.25">
      <c r="A8" s="345" t="s">
        <v>50</v>
      </c>
      <c r="B8" s="331" t="s">
        <v>128</v>
      </c>
      <c r="C8" s="552" t="s">
        <v>186</v>
      </c>
      <c r="D8" s="552" t="s">
        <v>43</v>
      </c>
      <c r="E8" s="552" t="s">
        <v>186</v>
      </c>
      <c r="F8" s="552" t="s">
        <v>128</v>
      </c>
      <c r="G8" s="552" t="s">
        <v>186</v>
      </c>
      <c r="H8" s="552" t="s">
        <v>43</v>
      </c>
      <c r="I8" s="625" t="s">
        <v>186</v>
      </c>
      <c r="J8" s="557" t="s">
        <v>26</v>
      </c>
    </row>
    <row r="9" spans="1:12" s="395" customFormat="1" ht="15" x14ac:dyDescent="0.2">
      <c r="A9" s="615" t="s">
        <v>356</v>
      </c>
      <c r="B9" s="616">
        <v>0</v>
      </c>
      <c r="C9" s="616">
        <v>0</v>
      </c>
      <c r="D9" s="616">
        <v>1259</v>
      </c>
      <c r="E9" s="616">
        <v>27731</v>
      </c>
      <c r="F9" s="616">
        <v>0</v>
      </c>
      <c r="G9" s="616">
        <v>0</v>
      </c>
      <c r="H9" s="538">
        <f>'مواد انشائيه1'!B9+'مواد انشائيه1'!D9+'مواد انشائيه1'!F9+'مواد انشائيه1'!H9+'مواد انشائيه2'!B9+'مواد انشائيه2'!D9+'مواد انشائيه2'!F9+'مواد انشائيه2'!H9+'مواد انشائيه2'!J9+'مواد انشائيه3'!B9+'مواد انشائيه3'!D9+'مواد انشائيه3'!F9+'مواد انشائيه4'!B9+'مواد انشائيه4'!D9+'مواد انشائيه4'!F9</f>
        <v>57278</v>
      </c>
      <c r="I9" s="543">
        <f>'مواد انشائيه1'!C9+'مواد انشائيه1'!E9+'مواد انشائيه1'!G9+'مواد انشائيه1'!I9+'مواد انشائيه2'!C9+'مواد انشائيه2'!E9+'مواد انشائيه2'!G9+'مواد انشائيه2'!I9+'مواد انشائيه2'!K9+'مواد انشائيه3'!C9+'مواد انشائيه3'!E9+'مواد انشائيه3'!G9+'مواد انشائيه4'!C9+'مواد انشائيه4'!E9+'مواد انشائيه4'!G9</f>
        <v>750233</v>
      </c>
      <c r="J9" s="617" t="s">
        <v>357</v>
      </c>
      <c r="K9" s="618"/>
      <c r="L9" s="618"/>
    </row>
    <row r="10" spans="1:12" s="289" customFormat="1" ht="15" customHeight="1" x14ac:dyDescent="0.2">
      <c r="A10" s="626" t="s">
        <v>30</v>
      </c>
      <c r="B10" s="627">
        <v>0</v>
      </c>
      <c r="C10" s="627">
        <v>0</v>
      </c>
      <c r="D10" s="627">
        <v>2198</v>
      </c>
      <c r="E10" s="627">
        <v>42995</v>
      </c>
      <c r="F10" s="627">
        <v>0</v>
      </c>
      <c r="G10" s="627">
        <v>0</v>
      </c>
      <c r="H10" s="571">
        <f>'مواد انشائيه1'!B10+'مواد انشائيه1'!D10+'مواد انشائيه1'!F10+'مواد انشائيه1'!H10+'مواد انشائيه2'!B10+'مواد انشائيه2'!D10+'مواد انشائيه2'!F10+'مواد انشائيه2'!H10+'مواد انشائيه2'!J10+'مواد انشائيه3'!B10+'مواد انشائيه3'!D10+'مواد انشائيه3'!F10+'مواد انشائيه4'!B10+'مواد انشائيه4'!D10+'مواد انشائيه4'!F10</f>
        <v>151628</v>
      </c>
      <c r="I10" s="588">
        <f>'مواد انشائيه1'!C10+'مواد انشائيه1'!E10+'مواد انشائيه1'!G10+'مواد انشائيه1'!I10+'مواد انشائيه2'!C10+'مواد انشائيه2'!E10+'مواد انشائيه2'!G10+'مواد انشائيه2'!I10+'مواد انشائيه2'!K10+'مواد انشائيه3'!C10+'مواد انشائيه3'!E10+'مواد انشائيه3'!G10+'مواد انشائيه4'!C10+'مواد انشائيه4'!E10+'مواد انشائيه4'!G10</f>
        <v>1949816</v>
      </c>
      <c r="J10" s="628" t="s">
        <v>31</v>
      </c>
      <c r="K10" s="619"/>
      <c r="L10" s="619"/>
    </row>
    <row r="11" spans="1:12" s="289" customFormat="1" ht="15" customHeight="1" x14ac:dyDescent="0.2">
      <c r="A11" s="615" t="s">
        <v>3</v>
      </c>
      <c r="B11" s="616">
        <v>62</v>
      </c>
      <c r="C11" s="616">
        <v>567</v>
      </c>
      <c r="D11" s="616">
        <v>1442</v>
      </c>
      <c r="E11" s="616">
        <v>36768</v>
      </c>
      <c r="F11" s="616">
        <v>1477</v>
      </c>
      <c r="G11" s="620">
        <v>74820</v>
      </c>
      <c r="H11" s="538">
        <f>'مواد انشائيه1'!B11+'مواد انشائيه1'!D11+'مواد انشائيه1'!F11+'مواد انشائيه1'!H11+'مواد انشائيه2'!B11+'مواد انشائيه2'!D11+'مواد انشائيه2'!F11+'مواد انشائيه2'!H11+'مواد انشائيه2'!J11+'مواد انشائيه3'!B11+'مواد انشائيه3'!D11+'مواد انشائيه3'!F11+'مواد انشائيه4'!B11+'مواد انشائيه4'!D11+'مواد انشائيه4'!F11</f>
        <v>304221</v>
      </c>
      <c r="I11" s="543">
        <f>'مواد انشائيه1'!C11+'مواد انشائيه1'!E11+'مواد انشائيه1'!G11+'مواد انشائيه1'!I11+'مواد انشائيه2'!C11+'مواد انشائيه2'!E11+'مواد انشائيه2'!G11+'مواد انشائيه2'!I11+'مواد انشائيه2'!K11+'مواد انشائيه3'!C11+'مواد انشائيه3'!E11+'مواد انشائيه3'!G11+'مواد انشائيه4'!C11+'مواد انشائيه4'!E11+'مواد انشائيه4'!G11</f>
        <v>3154745</v>
      </c>
      <c r="J11" s="617" t="s">
        <v>15</v>
      </c>
      <c r="K11" s="619"/>
      <c r="L11" s="619"/>
    </row>
    <row r="12" spans="1:12" s="289" customFormat="1" ht="15" customHeight="1" x14ac:dyDescent="0.2">
      <c r="A12" s="626" t="s">
        <v>342</v>
      </c>
      <c r="B12" s="627">
        <v>0</v>
      </c>
      <c r="C12" s="627">
        <v>0</v>
      </c>
      <c r="D12" s="627">
        <v>1143</v>
      </c>
      <c r="E12" s="627">
        <f>D12*23</f>
        <v>26289</v>
      </c>
      <c r="F12" s="627">
        <v>0</v>
      </c>
      <c r="G12" s="627">
        <v>0</v>
      </c>
      <c r="H12" s="571">
        <f>'مواد انشائيه1'!B12+'مواد انشائيه1'!D12+'مواد انشائيه1'!F12+'مواد انشائيه1'!H12+'مواد انشائيه2'!B12+'مواد انشائيه2'!D12+'مواد انشائيه2'!F12+'مواد انشائيه2'!H12+'مواد انشائيه2'!J12+'مواد انشائيه3'!B12+'مواد انشائيه3'!D12+'مواد انشائيه3'!F12+'مواد انشائيه4'!B12+'مواد انشائيه4'!D12+'مواد انشائيه4'!F12</f>
        <v>94008</v>
      </c>
      <c r="I12" s="588">
        <f>'مواد انشائيه1'!C12+'مواد انشائيه1'!E12+'مواد انشائيه1'!G12+'مواد انشائيه1'!I12+'مواد انشائيه2'!C12+'مواد انشائيه2'!E12+'مواد انشائيه2'!G12+'مواد انشائيه2'!I12+'مواد انشائيه2'!K12+'مواد انشائيه3'!C12+'مواد انشائيه3'!E12+'مواد انشائيه3'!G12+'مواد انشائيه4'!C12+'مواد انشائيه4'!E12+'مواد انشائيه4'!G12</f>
        <v>1172011</v>
      </c>
      <c r="J12" s="628" t="s">
        <v>337</v>
      </c>
      <c r="K12" s="619"/>
      <c r="L12" s="619"/>
    </row>
    <row r="13" spans="1:12" s="289" customFormat="1" ht="15" customHeight="1" x14ac:dyDescent="0.2">
      <c r="A13" s="615" t="s">
        <v>4</v>
      </c>
      <c r="B13" s="616">
        <v>36264</v>
      </c>
      <c r="C13" s="616">
        <v>490750</v>
      </c>
      <c r="D13" s="616">
        <v>38499</v>
      </c>
      <c r="E13" s="616">
        <v>891156</v>
      </c>
      <c r="F13" s="616">
        <v>33553</v>
      </c>
      <c r="G13" s="620">
        <v>1129390</v>
      </c>
      <c r="H13" s="538">
        <f>'مواد انشائيه1'!B13+'مواد انشائيه1'!D13+'مواد انشائيه1'!F13+'مواد انشائيه1'!H13+'مواد انشائيه2'!B13+'مواد انشائيه2'!D13+'مواد انشائيه2'!F13+'مواد انشائيه2'!H13+'مواد انشائيه2'!J13+'مواد انشائيه3'!B13+'مواد انشائيه3'!D13+'مواد انشائيه3'!F13+'مواد انشائيه4'!B13+'مواد انشائيه4'!D13+'مواد انشائيه4'!F13</f>
        <v>2252143</v>
      </c>
      <c r="I13" s="543">
        <f>'مواد انشائيه1'!C13+'مواد انشائيه1'!E13+'مواد انشائيه1'!G13+'مواد انشائيه1'!I13+'مواد انشائيه2'!C13+'مواد انشائيه2'!E13+'مواد انشائيه2'!G13+'مواد انشائيه2'!I13+'مواد انشائيه2'!K13+'مواد انشائيه3'!C13+'مواد انشائيه3'!E13+'مواد انشائيه3'!G13+'مواد انشائيه4'!C13+'مواد انشائيه4'!E13+'مواد انشائيه4'!G13</f>
        <v>144577614</v>
      </c>
      <c r="J13" s="617" t="s">
        <v>16</v>
      </c>
      <c r="K13" s="619"/>
      <c r="L13" s="619"/>
    </row>
    <row r="14" spans="1:12" s="289" customFormat="1" ht="14.25" customHeight="1" x14ac:dyDescent="0.2">
      <c r="A14" s="626" t="s">
        <v>5</v>
      </c>
      <c r="B14" s="627">
        <v>0</v>
      </c>
      <c r="C14" s="627">
        <v>0</v>
      </c>
      <c r="D14" s="627">
        <v>0</v>
      </c>
      <c r="E14" s="627">
        <v>0</v>
      </c>
      <c r="F14" s="627">
        <v>0</v>
      </c>
      <c r="G14" s="627">
        <v>0</v>
      </c>
      <c r="H14" s="571">
        <f>'مواد انشائيه1'!B14+'مواد انشائيه1'!D14+'مواد انشائيه1'!F14+'مواد انشائيه1'!H14+'مواد انشائيه2'!B14+'مواد انشائيه2'!D14+'مواد انشائيه2'!F14+'مواد انشائيه2'!H14+'مواد انشائيه2'!J14+'مواد انشائيه3'!B14+'مواد انشائيه3'!D14+'مواد انشائيه3'!F14+'مواد انشائيه4'!B14+'مواد انشائيه4'!D14+'مواد انشائيه4'!F14</f>
        <v>274892</v>
      </c>
      <c r="I14" s="588">
        <f>'مواد انشائيه1'!C14+'مواد انشائيه1'!E14+'مواد انشائيه1'!G14+'مواد انشائيه1'!I14+'مواد انشائيه2'!C14+'مواد انشائيه2'!E14+'مواد انشائيه2'!G14+'مواد انشائيه2'!I14+'مواد انشائيه2'!K14+'مواد انشائيه3'!C14+'مواد انشائيه3'!E14+'مواد انشائيه3'!G14+'مواد انشائيه4'!C14+'مواد انشائيه4'!E14+'مواد انشائيه4'!G14</f>
        <v>2900262</v>
      </c>
      <c r="J14" s="628" t="s">
        <v>23</v>
      </c>
      <c r="K14" s="619"/>
      <c r="L14" s="619"/>
    </row>
    <row r="15" spans="1:12" s="289" customFormat="1" ht="15" customHeight="1" x14ac:dyDescent="0.2">
      <c r="A15" s="615" t="s">
        <v>6</v>
      </c>
      <c r="B15" s="616">
        <v>0</v>
      </c>
      <c r="C15" s="616">
        <v>0</v>
      </c>
      <c r="D15" s="616">
        <v>0</v>
      </c>
      <c r="E15" s="616">
        <v>0</v>
      </c>
      <c r="F15" s="616">
        <v>3075</v>
      </c>
      <c r="G15" s="620">
        <v>174740</v>
      </c>
      <c r="H15" s="538">
        <f>'مواد انشائيه1'!B15+'مواد انشائيه1'!D15+'مواد انشائيه1'!F15+'مواد انشائيه1'!H15+'مواد انشائيه2'!B15+'مواد انشائيه2'!D15+'مواد انشائيه2'!F15+'مواد انشائيه2'!H15+'مواد انشائيه2'!J15+'مواد انشائيه3'!B15+'مواد انشائيه3'!D15+'مواد انشائيه3'!F15+'مواد انشائيه4'!B15+'مواد انشائيه4'!D15+'مواد انشائيه4'!F15</f>
        <v>178621</v>
      </c>
      <c r="I15" s="543">
        <f>'مواد انشائيه1'!C15+'مواد انشائيه1'!E15+'مواد انشائيه1'!G15+'مواد انشائيه1'!I15+'مواد انشائيه2'!C15+'مواد انشائيه2'!E15+'مواد انشائيه2'!G15+'مواد انشائيه2'!I15+'مواد انشائيه2'!K15+'مواد انشائيه3'!C15+'مواد انشائيه3'!E15+'مواد انشائيه3'!G15+'مواد انشائيه4'!C15+'مواد انشائيه4'!E15+'مواد انشائيه4'!G15</f>
        <v>2321102</v>
      </c>
      <c r="J15" s="617" t="s">
        <v>24</v>
      </c>
      <c r="K15" s="619"/>
      <c r="L15" s="619"/>
    </row>
    <row r="16" spans="1:12" s="289" customFormat="1" ht="15" customHeight="1" x14ac:dyDescent="0.2">
      <c r="A16" s="626" t="s">
        <v>11</v>
      </c>
      <c r="B16" s="627">
        <v>0</v>
      </c>
      <c r="C16" s="627">
        <v>0</v>
      </c>
      <c r="D16" s="627">
        <v>0</v>
      </c>
      <c r="E16" s="627">
        <v>0</v>
      </c>
      <c r="F16" s="627">
        <v>0</v>
      </c>
      <c r="G16" s="627">
        <v>0</v>
      </c>
      <c r="H16" s="571">
        <f>'مواد انشائيه1'!B16+'مواد انشائيه1'!D16+'مواد انشائيه1'!F16+'مواد انشائيه1'!H16+'مواد انشائيه2'!B16+'مواد انشائيه2'!D16+'مواد انشائيه2'!F16+'مواد انشائيه2'!H16+'مواد انشائيه2'!J16+'مواد انشائيه3'!B16+'مواد انشائيه3'!D16+'مواد انشائيه3'!F16+'مواد انشائيه4'!B16+'مواد انشائيه4'!D16+'مواد انشائيه4'!F16</f>
        <v>79608</v>
      </c>
      <c r="I16" s="588">
        <f>'مواد انشائيه1'!C16+'مواد انشائيه1'!E16+'مواد انشائيه1'!G16+'مواد انشائيه1'!I16+'مواد انشائيه2'!C16+'مواد انشائيه2'!E16+'مواد انشائيه2'!G16+'مواد انشائيه2'!I16+'مواد انشائيه2'!K16+'مواد انشائيه3'!C16+'مواد انشائيه3'!E16+'مواد انشائيه3'!G16+'مواد انشائيه4'!C16+'مواد انشائيه4'!E16+'مواد انشائيه4'!G16</f>
        <v>945709</v>
      </c>
      <c r="J16" s="628" t="s">
        <v>21</v>
      </c>
      <c r="K16" s="619"/>
      <c r="L16" s="619"/>
    </row>
    <row r="17" spans="1:535" s="289" customFormat="1" ht="15" customHeight="1" x14ac:dyDescent="0.2">
      <c r="A17" s="615" t="s">
        <v>2</v>
      </c>
      <c r="B17" s="616">
        <v>0</v>
      </c>
      <c r="C17" s="616">
        <v>0</v>
      </c>
      <c r="D17" s="616">
        <v>0</v>
      </c>
      <c r="E17" s="616">
        <v>0</v>
      </c>
      <c r="F17" s="616">
        <v>735</v>
      </c>
      <c r="G17" s="620">
        <v>21176</v>
      </c>
      <c r="H17" s="538">
        <f>'مواد انشائيه1'!B17+'مواد انشائيه1'!D17+'مواد انشائيه1'!F17+'مواد انشائيه1'!H17+'مواد انشائيه2'!B17+'مواد انشائيه2'!D17+'مواد انشائيه2'!F17+'مواد انشائيه2'!H17+'مواد انشائيه2'!J17+'مواد انشائيه3'!B17+'مواد انشائيه3'!D17+'مواد انشائيه3'!F17+'مواد انشائيه4'!B17+'مواد انشائيه4'!D17+'مواد انشائيه4'!F17</f>
        <v>83020</v>
      </c>
      <c r="I17" s="543">
        <f>'مواد انشائيه1'!C17+'مواد انشائيه1'!E17+'مواد انشائيه1'!G17+'مواد انشائيه1'!I17+'مواد انشائيه2'!C17+'مواد انشائيه2'!E17+'مواد انشائيه2'!G17+'مواد انشائيه2'!I17+'مواد انشائيه2'!K17+'مواد انشائيه3'!C17+'مواد انشائيه3'!E17+'مواد انشائيه3'!G17+'مواد انشائيه4'!C17+'مواد انشائيه4'!E17+'مواد انشائيه4'!G17</f>
        <v>737008</v>
      </c>
      <c r="J17" s="617" t="s">
        <v>14</v>
      </c>
      <c r="K17" s="619"/>
      <c r="L17" s="619"/>
    </row>
    <row r="18" spans="1:535" s="289" customFormat="1" ht="15" customHeight="1" x14ac:dyDescent="0.2">
      <c r="A18" s="626" t="s">
        <v>7</v>
      </c>
      <c r="B18" s="627">
        <v>0</v>
      </c>
      <c r="C18" s="627">
        <v>0</v>
      </c>
      <c r="D18" s="627">
        <v>0</v>
      </c>
      <c r="E18" s="627">
        <v>0</v>
      </c>
      <c r="F18" s="627">
        <v>0</v>
      </c>
      <c r="G18" s="629">
        <v>0</v>
      </c>
      <c r="H18" s="571">
        <f>'مواد انشائيه1'!B18+'مواد انشائيه1'!D18+'مواد انشائيه1'!F18+'مواد انشائيه1'!H18+'مواد انشائيه2'!B18+'مواد انشائيه2'!D18+'مواد انشائيه2'!F18+'مواد انشائيه2'!H18+'مواد انشائيه2'!J18+'مواد انشائيه3'!B18+'مواد انشائيه3'!D18+'مواد انشائيه3'!F18+'مواد انشائيه4'!B18+'مواد انشائيه4'!D18+'مواد انشائيه4'!F18</f>
        <v>336312</v>
      </c>
      <c r="I18" s="588">
        <f>'مواد انشائيه1'!C18+'مواد انشائيه1'!E18+'مواد انشائيه1'!G18+'مواد انشائيه1'!I18+'مواد انشائيه2'!C18+'مواد انشائيه2'!E18+'مواد انشائيه2'!G18+'مواد انشائيه2'!I18+'مواد انشائيه2'!K18+'مواد انشائيه3'!C18+'مواد انشائيه3'!E18+'مواد انشائيه3'!G18+'مواد انشائيه4'!C18+'مواد انشائيه4'!E18+'مواد انشائيه4'!G18</f>
        <v>3874819</v>
      </c>
      <c r="J18" s="628" t="s">
        <v>17</v>
      </c>
      <c r="K18" s="619"/>
      <c r="L18" s="619"/>
    </row>
    <row r="19" spans="1:535" s="289" customFormat="1" ht="15" customHeight="1" x14ac:dyDescent="0.2">
      <c r="A19" s="615" t="s">
        <v>8</v>
      </c>
      <c r="B19" s="616">
        <v>0</v>
      </c>
      <c r="C19" s="616">
        <v>0</v>
      </c>
      <c r="D19" s="616">
        <v>0</v>
      </c>
      <c r="E19" s="616">
        <v>0</v>
      </c>
      <c r="F19" s="616">
        <v>0</v>
      </c>
      <c r="G19" s="620">
        <v>0</v>
      </c>
      <c r="H19" s="538">
        <f>'مواد انشائيه1'!B19+'مواد انشائيه1'!D19+'مواد انشائيه1'!F19+'مواد انشائيه1'!H19+'مواد انشائيه2'!B19+'مواد انشائيه2'!D19+'مواد انشائيه2'!F19+'مواد انشائيه2'!H19+'مواد انشائيه2'!J19+'مواد انشائيه3'!B19+'مواد انشائيه3'!D19+'مواد انشائيه3'!F19+'مواد انشائيه4'!B19+'مواد انشائيه4'!D19+'مواد انشائيه4'!F19</f>
        <v>277721</v>
      </c>
      <c r="I19" s="543">
        <f>'مواد انشائيه1'!C19+'مواد انشائيه1'!E19+'مواد انشائيه1'!G19+'مواد انشائيه1'!I19+'مواد انشائيه2'!C19+'مواد انشائيه2'!E19+'مواد انشائيه2'!G19+'مواد انشائيه2'!I19+'مواد انشائيه2'!K19+'مواد انشائيه3'!C19+'مواد انشائيه3'!E19+'مواد انشائيه3'!G19+'مواد انشائيه4'!C19+'مواد انشائيه4'!E19+'مواد انشائيه4'!G19</f>
        <v>1786197</v>
      </c>
      <c r="J19" s="617" t="s">
        <v>18</v>
      </c>
      <c r="K19" s="619"/>
      <c r="L19" s="619"/>
    </row>
    <row r="20" spans="1:535" s="289" customFormat="1" ht="15" customHeight="1" x14ac:dyDescent="0.2">
      <c r="A20" s="626" t="s">
        <v>9</v>
      </c>
      <c r="B20" s="627">
        <v>0</v>
      </c>
      <c r="C20" s="627">
        <v>0</v>
      </c>
      <c r="D20" s="627">
        <v>0</v>
      </c>
      <c r="E20" s="627">
        <v>0</v>
      </c>
      <c r="F20" s="627">
        <v>0</v>
      </c>
      <c r="G20" s="629">
        <v>0</v>
      </c>
      <c r="H20" s="571">
        <f>'مواد انشائيه1'!B20+'مواد انشائيه1'!D20+'مواد انشائيه1'!F20+'مواد انشائيه1'!H20+'مواد انشائيه2'!B20+'مواد انشائيه2'!D20+'مواد انشائيه2'!F20+'مواد انشائيه2'!H20+'مواد انشائيه2'!J20+'مواد انشائيه3'!B20+'مواد انشائيه3'!D20+'مواد انشائيه3'!F20+'مواد انشائيه4'!B20+'مواد انشائيه4'!D20+'مواد انشائيه4'!F20</f>
        <v>207172</v>
      </c>
      <c r="I20" s="588">
        <f>'مواد انشائيه1'!C20+'مواد انشائيه1'!E20+'مواد انشائيه1'!G20+'مواد انشائيه1'!I20+'مواد انشائيه2'!C20+'مواد انشائيه2'!E20+'مواد انشائيه2'!G20+'مواد انشائيه2'!I20+'مواد انشائيه2'!K20+'مواد انشائيه3'!C20+'مواد انشائيه3'!E20+'مواد انشائيه3'!G20+'مواد انشائيه4'!C20+'مواد انشائيه4'!E20+'مواد انشائيه4'!G20</f>
        <v>1255311</v>
      </c>
      <c r="J20" s="628" t="s">
        <v>19</v>
      </c>
      <c r="K20" s="619"/>
      <c r="L20" s="619"/>
    </row>
    <row r="21" spans="1:535" s="289" customFormat="1" ht="15" customHeight="1" x14ac:dyDescent="0.2">
      <c r="A21" s="615" t="s">
        <v>10</v>
      </c>
      <c r="B21" s="616">
        <v>0</v>
      </c>
      <c r="C21" s="616">
        <v>0</v>
      </c>
      <c r="D21" s="616">
        <v>0</v>
      </c>
      <c r="E21" s="616">
        <v>0</v>
      </c>
      <c r="F21" s="616">
        <v>0</v>
      </c>
      <c r="G21" s="616">
        <v>0</v>
      </c>
      <c r="H21" s="538">
        <f>'مواد انشائيه1'!B21+'مواد انشائيه1'!D21+'مواد انشائيه1'!F21+'مواد انشائيه1'!H21+'مواد انشائيه2'!B21+'مواد انشائيه2'!D21+'مواد انشائيه2'!F21+'مواد انشائيه2'!H21+'مواد انشائيه2'!J21+'مواد انشائيه3'!B21+'مواد انشائيه3'!D21+'مواد انشائيه3'!F21+'مواد انشائيه4'!B21+'مواد انشائيه4'!D21+'مواد انشائيه4'!F21</f>
        <v>299725</v>
      </c>
      <c r="I21" s="543">
        <f>'مواد انشائيه1'!C21+'مواد انشائيه1'!E21+'مواد انشائيه1'!G21+'مواد انشائيه1'!I21+'مواد انشائيه2'!C21+'مواد انشائيه2'!E21+'مواد انشائيه2'!G21+'مواد انشائيه2'!I21+'مواد انشائيه2'!K21+'مواد انشائيه3'!C21+'مواد انشائيه3'!E21+'مواد انشائيه3'!G21+'مواد انشائيه4'!C21+'مواد انشائيه4'!E21+'مواد انشائيه4'!G21</f>
        <v>1906439</v>
      </c>
      <c r="J21" s="617" t="s">
        <v>20</v>
      </c>
      <c r="K21" s="619"/>
      <c r="L21" s="619"/>
    </row>
    <row r="22" spans="1:535" s="289" customFormat="1" ht="15" customHeight="1" x14ac:dyDescent="0.2">
      <c r="A22" s="626" t="s">
        <v>12</v>
      </c>
      <c r="B22" s="627">
        <v>0</v>
      </c>
      <c r="C22" s="627">
        <v>0</v>
      </c>
      <c r="D22" s="627">
        <v>0</v>
      </c>
      <c r="E22" s="627">
        <v>0</v>
      </c>
      <c r="F22" s="627">
        <v>0</v>
      </c>
      <c r="G22" s="627">
        <v>0</v>
      </c>
      <c r="H22" s="571">
        <f>'مواد انشائيه1'!B22+'مواد انشائيه1'!D22+'مواد انشائيه1'!F22+'مواد انشائيه1'!H22+'مواد انشائيه2'!B22+'مواد انشائيه2'!D22+'مواد انشائيه2'!F22+'مواد انشائيه2'!H22+'مواد انشائيه2'!J22+'مواد انشائيه3'!B22+'مواد انشائيه3'!D22+'مواد انشائيه3'!F22+'مواد انشائيه4'!B22+'مواد انشائيه4'!D22+'مواد انشائيه4'!F22</f>
        <v>43205</v>
      </c>
      <c r="I22" s="588">
        <f>'مواد انشائيه1'!C22+'مواد انشائيه1'!E22+'مواد انشائيه1'!G22+'مواد انشائيه1'!I22+'مواد انشائيه2'!C22+'مواد انشائيه2'!E22+'مواد انشائيه2'!G22+'مواد انشائيه2'!I22+'مواد انشائيه2'!K22+'مواد انشائيه3'!C22+'مواد انشائيه3'!E22+'مواد انشائيه3'!G22+'مواد انشائيه4'!C22+'مواد انشائيه4'!E22+'مواد انشائيه4'!G22</f>
        <v>322224</v>
      </c>
      <c r="J22" s="628" t="s">
        <v>25</v>
      </c>
      <c r="K22" s="619"/>
      <c r="L22" s="619"/>
    </row>
    <row r="23" spans="1:535" s="289" customFormat="1" ht="15" customHeight="1" thickBot="1" x14ac:dyDescent="0.25">
      <c r="A23" s="615" t="s">
        <v>13</v>
      </c>
      <c r="B23" s="616">
        <v>0</v>
      </c>
      <c r="C23" s="616">
        <v>0</v>
      </c>
      <c r="D23" s="616">
        <v>0</v>
      </c>
      <c r="E23" s="616">
        <v>0</v>
      </c>
      <c r="F23" s="616">
        <v>488</v>
      </c>
      <c r="G23" s="620">
        <v>14830</v>
      </c>
      <c r="H23" s="538">
        <f>'مواد انشائيه1'!B23+'مواد انشائيه1'!D23+'مواد انشائيه1'!F23+'مواد انشائيه1'!H23+'مواد انشائيه2'!B23+'مواد انشائيه2'!D23+'مواد انشائيه2'!F23+'مواد انشائيه2'!H23+'مواد انشائيه2'!J23+'مواد انشائيه3'!B23+'مواد انشائيه3'!D23+'مواد انشائيه3'!F23+'مواد انشائيه4'!B23+'مواد انشائيه4'!D23+'مواد انشائيه4'!F23</f>
        <v>264621</v>
      </c>
      <c r="I23" s="543">
        <f>'مواد انشائيه1'!C23+'مواد انشائيه1'!E23+'مواد انشائيه1'!G23+'مواد انشائيه1'!I23+'مواد انشائيه2'!C23+'مواد انشائيه2'!E23+'مواد انشائيه2'!G23+'مواد انشائيه2'!I23+'مواد انشائيه2'!K23+'مواد انشائيه3'!C23+'مواد انشائيه3'!E23+'مواد انشائيه3'!G23+'مواد انشائيه4'!C23+'مواد انشائيه4'!E23+'مواد انشائيه4'!G23</f>
        <v>2085605</v>
      </c>
      <c r="J23" s="617" t="s">
        <v>22</v>
      </c>
      <c r="K23" s="619"/>
      <c r="L23" s="618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  <c r="IX23" s="395"/>
      <c r="IY23" s="395"/>
      <c r="IZ23" s="395"/>
      <c r="JA23" s="395"/>
      <c r="JB23" s="395"/>
      <c r="JC23" s="395"/>
      <c r="JD23" s="395"/>
      <c r="JE23" s="395"/>
      <c r="JF23" s="395"/>
      <c r="JG23" s="395"/>
      <c r="JH23" s="395"/>
      <c r="JI23" s="395"/>
      <c r="JJ23" s="395"/>
      <c r="JK23" s="395"/>
      <c r="JL23" s="395"/>
      <c r="JM23" s="395"/>
      <c r="JN23" s="395"/>
      <c r="JO23" s="395"/>
      <c r="JP23" s="395"/>
      <c r="JQ23" s="395"/>
      <c r="JR23" s="395"/>
      <c r="JS23" s="395"/>
      <c r="JT23" s="395"/>
      <c r="JU23" s="395"/>
      <c r="JV23" s="395"/>
      <c r="JW23" s="395"/>
      <c r="JX23" s="395"/>
      <c r="JY23" s="395"/>
      <c r="JZ23" s="395"/>
      <c r="KA23" s="395"/>
      <c r="KB23" s="395"/>
      <c r="KC23" s="395"/>
      <c r="KD23" s="395"/>
      <c r="KE23" s="395"/>
      <c r="KF23" s="395"/>
      <c r="KG23" s="395"/>
      <c r="KH23" s="395"/>
      <c r="KI23" s="395"/>
      <c r="KJ23" s="395"/>
      <c r="KK23" s="395"/>
      <c r="KL23" s="395"/>
      <c r="KM23" s="395"/>
      <c r="KN23" s="395"/>
      <c r="KO23" s="395"/>
      <c r="KP23" s="395"/>
      <c r="KQ23" s="395"/>
      <c r="KR23" s="395"/>
      <c r="KS23" s="395"/>
      <c r="KT23" s="395"/>
      <c r="KU23" s="395"/>
      <c r="KV23" s="395"/>
      <c r="KW23" s="395"/>
      <c r="KX23" s="395"/>
      <c r="KY23" s="395"/>
      <c r="KZ23" s="395"/>
      <c r="LA23" s="395"/>
      <c r="LB23" s="395"/>
      <c r="LC23" s="395"/>
      <c r="LD23" s="395"/>
      <c r="LE23" s="395"/>
      <c r="LF23" s="395"/>
      <c r="LG23" s="395"/>
      <c r="LH23" s="395"/>
      <c r="LI23" s="395"/>
      <c r="LJ23" s="395"/>
      <c r="LK23" s="395"/>
      <c r="LL23" s="395"/>
      <c r="LM23" s="395"/>
      <c r="LN23" s="395"/>
      <c r="LO23" s="395"/>
      <c r="LP23" s="395"/>
      <c r="LQ23" s="395"/>
      <c r="LR23" s="395"/>
      <c r="LS23" s="395"/>
      <c r="LT23" s="395"/>
      <c r="LU23" s="395"/>
      <c r="LV23" s="395"/>
      <c r="LW23" s="395"/>
      <c r="LX23" s="395"/>
      <c r="LY23" s="395"/>
      <c r="LZ23" s="395"/>
      <c r="MA23" s="395"/>
      <c r="MB23" s="395"/>
      <c r="MC23" s="395"/>
      <c r="MD23" s="395"/>
      <c r="ME23" s="395"/>
      <c r="MF23" s="395"/>
      <c r="MG23" s="395"/>
      <c r="MH23" s="395"/>
      <c r="MI23" s="395"/>
      <c r="MJ23" s="395"/>
      <c r="MK23" s="395"/>
      <c r="ML23" s="395"/>
      <c r="MM23" s="395"/>
      <c r="MN23" s="395"/>
      <c r="MO23" s="395"/>
      <c r="MP23" s="395"/>
      <c r="MQ23" s="395"/>
      <c r="MR23" s="395"/>
      <c r="MS23" s="395"/>
      <c r="MT23" s="395"/>
      <c r="MU23" s="395"/>
      <c r="MV23" s="395"/>
      <c r="MW23" s="395"/>
      <c r="MX23" s="395"/>
      <c r="MY23" s="395"/>
      <c r="MZ23" s="395"/>
      <c r="NA23" s="395"/>
      <c r="NB23" s="395"/>
      <c r="NC23" s="395"/>
      <c r="ND23" s="395"/>
      <c r="NE23" s="395"/>
      <c r="NF23" s="395"/>
      <c r="NG23" s="395"/>
      <c r="NH23" s="395"/>
      <c r="NI23" s="395"/>
      <c r="NJ23" s="395"/>
      <c r="NK23" s="395"/>
      <c r="NL23" s="395"/>
      <c r="NM23" s="395"/>
      <c r="NN23" s="395"/>
      <c r="NO23" s="395"/>
      <c r="NP23" s="395"/>
      <c r="NQ23" s="395"/>
      <c r="NR23" s="395"/>
      <c r="NS23" s="395"/>
      <c r="NT23" s="395"/>
      <c r="NU23" s="395"/>
      <c r="NV23" s="395"/>
      <c r="NW23" s="395"/>
      <c r="NX23" s="395"/>
      <c r="NY23" s="395"/>
      <c r="NZ23" s="395"/>
      <c r="OA23" s="395"/>
      <c r="OB23" s="395"/>
      <c r="OC23" s="395"/>
      <c r="OD23" s="395"/>
      <c r="OE23" s="395"/>
      <c r="OF23" s="395"/>
      <c r="OG23" s="395"/>
      <c r="OH23" s="395"/>
      <c r="OI23" s="395"/>
      <c r="OJ23" s="395"/>
      <c r="OK23" s="395"/>
      <c r="OL23" s="395"/>
      <c r="OM23" s="395"/>
      <c r="ON23" s="395"/>
      <c r="OO23" s="395"/>
      <c r="OP23" s="395"/>
      <c r="OQ23" s="395"/>
      <c r="OR23" s="395"/>
      <c r="OS23" s="395"/>
      <c r="OT23" s="395"/>
      <c r="OU23" s="395"/>
      <c r="OV23" s="395"/>
      <c r="OW23" s="395"/>
      <c r="OX23" s="395"/>
      <c r="OY23" s="395"/>
      <c r="OZ23" s="395"/>
      <c r="PA23" s="395"/>
      <c r="PB23" s="395"/>
      <c r="PC23" s="395"/>
      <c r="PD23" s="395"/>
      <c r="PE23" s="395"/>
      <c r="PF23" s="395"/>
      <c r="PG23" s="395"/>
      <c r="PH23" s="395"/>
      <c r="PI23" s="395"/>
      <c r="PJ23" s="395"/>
      <c r="PK23" s="395"/>
      <c r="PL23" s="395"/>
      <c r="PM23" s="395"/>
      <c r="PN23" s="395"/>
      <c r="PO23" s="395"/>
      <c r="PP23" s="395"/>
      <c r="PQ23" s="395"/>
      <c r="PR23" s="395"/>
      <c r="PS23" s="395"/>
      <c r="PT23" s="395"/>
      <c r="PU23" s="395"/>
      <c r="PV23" s="395"/>
      <c r="PW23" s="395"/>
      <c r="PX23" s="395"/>
      <c r="PY23" s="395"/>
      <c r="PZ23" s="395"/>
      <c r="QA23" s="395"/>
      <c r="QB23" s="395"/>
      <c r="QC23" s="395"/>
      <c r="QD23" s="395"/>
      <c r="QE23" s="395"/>
      <c r="QF23" s="395"/>
      <c r="QG23" s="395"/>
      <c r="QH23" s="395"/>
      <c r="QI23" s="395"/>
      <c r="QJ23" s="395"/>
      <c r="QK23" s="395"/>
      <c r="QL23" s="395"/>
      <c r="QM23" s="395"/>
      <c r="QN23" s="395"/>
      <c r="QO23" s="395"/>
      <c r="QP23" s="395"/>
      <c r="QQ23" s="395"/>
      <c r="QR23" s="395"/>
      <c r="QS23" s="395"/>
      <c r="QT23" s="395"/>
      <c r="QU23" s="395"/>
      <c r="QV23" s="395"/>
      <c r="QW23" s="395"/>
      <c r="QX23" s="395"/>
      <c r="QY23" s="395"/>
      <c r="QZ23" s="395"/>
      <c r="RA23" s="395"/>
      <c r="RB23" s="395"/>
      <c r="RC23" s="395"/>
      <c r="RD23" s="395"/>
      <c r="RE23" s="395"/>
      <c r="RF23" s="395"/>
      <c r="RG23" s="395"/>
      <c r="RH23" s="395"/>
      <c r="RI23" s="395"/>
      <c r="RJ23" s="395"/>
      <c r="RK23" s="395"/>
      <c r="RL23" s="395"/>
      <c r="RM23" s="395"/>
      <c r="RN23" s="395"/>
      <c r="RO23" s="395"/>
      <c r="RP23" s="395"/>
      <c r="RQ23" s="395"/>
      <c r="RR23" s="395"/>
      <c r="RS23" s="395"/>
      <c r="RT23" s="395"/>
      <c r="RU23" s="395"/>
      <c r="RV23" s="395"/>
      <c r="RW23" s="395"/>
      <c r="RX23" s="395"/>
      <c r="RY23" s="395"/>
      <c r="RZ23" s="395"/>
      <c r="SA23" s="395"/>
      <c r="SB23" s="395"/>
      <c r="SC23" s="395"/>
      <c r="SD23" s="395"/>
      <c r="SE23" s="395"/>
      <c r="SF23" s="395"/>
      <c r="SG23" s="395"/>
      <c r="SH23" s="395"/>
      <c r="SI23" s="395"/>
      <c r="SJ23" s="395"/>
      <c r="SK23" s="395"/>
      <c r="SL23" s="395"/>
      <c r="SM23" s="395"/>
      <c r="SN23" s="395"/>
      <c r="SO23" s="395"/>
      <c r="SP23" s="395"/>
      <c r="SQ23" s="395"/>
      <c r="SR23" s="395"/>
      <c r="SS23" s="395"/>
      <c r="ST23" s="395"/>
      <c r="SU23" s="395"/>
      <c r="SV23" s="395"/>
      <c r="SW23" s="395"/>
      <c r="SX23" s="395"/>
      <c r="SY23" s="395"/>
      <c r="SZ23" s="395"/>
      <c r="TA23" s="395"/>
      <c r="TB23" s="395"/>
      <c r="TC23" s="395"/>
      <c r="TD23" s="395"/>
      <c r="TE23" s="395"/>
      <c r="TF23" s="395"/>
      <c r="TG23" s="395"/>
      <c r="TH23" s="395"/>
      <c r="TI23" s="395"/>
      <c r="TJ23" s="395"/>
      <c r="TK23" s="395"/>
      <c r="TL23" s="395"/>
      <c r="TM23" s="395"/>
      <c r="TN23" s="395"/>
      <c r="TO23" s="395"/>
    </row>
    <row r="24" spans="1:535" s="431" customFormat="1" ht="20.25" customHeight="1" thickBot="1" x14ac:dyDescent="0.25">
      <c r="A24" s="621" t="s">
        <v>0</v>
      </c>
      <c r="B24" s="622">
        <v>36326</v>
      </c>
      <c r="C24" s="622">
        <v>491317</v>
      </c>
      <c r="D24" s="622">
        <v>44541</v>
      </c>
      <c r="E24" s="622">
        <f>SUM(E9:E23)</f>
        <v>1024939</v>
      </c>
      <c r="F24" s="622">
        <v>39328</v>
      </c>
      <c r="G24" s="622">
        <v>1414956</v>
      </c>
      <c r="H24" s="622">
        <f>SUM(H9:H23)</f>
        <v>4904175</v>
      </c>
      <c r="I24" s="622">
        <f>SUM(I9:I23)</f>
        <v>169739095</v>
      </c>
      <c r="J24" s="623" t="s">
        <v>1</v>
      </c>
      <c r="K24" s="624"/>
      <c r="L24" s="618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  <c r="IX24" s="395"/>
      <c r="IY24" s="395"/>
      <c r="IZ24" s="395"/>
      <c r="JA24" s="395"/>
      <c r="JB24" s="395"/>
      <c r="JC24" s="395"/>
      <c r="JD24" s="395"/>
      <c r="JE24" s="395"/>
      <c r="JF24" s="395"/>
      <c r="JG24" s="395"/>
      <c r="JH24" s="395"/>
      <c r="JI24" s="395"/>
      <c r="JJ24" s="395"/>
      <c r="JK24" s="395"/>
      <c r="JL24" s="395"/>
      <c r="JM24" s="395"/>
      <c r="JN24" s="395"/>
      <c r="JO24" s="395"/>
      <c r="JP24" s="395"/>
      <c r="JQ24" s="395"/>
      <c r="JR24" s="395"/>
      <c r="JS24" s="395"/>
      <c r="JT24" s="395"/>
      <c r="JU24" s="395"/>
      <c r="JV24" s="395"/>
      <c r="JW24" s="395"/>
      <c r="JX24" s="395"/>
      <c r="JY24" s="395"/>
      <c r="JZ24" s="395"/>
      <c r="KA24" s="395"/>
      <c r="KB24" s="395"/>
      <c r="KC24" s="395"/>
      <c r="KD24" s="395"/>
      <c r="KE24" s="395"/>
      <c r="KF24" s="395"/>
      <c r="KG24" s="395"/>
      <c r="KH24" s="395"/>
      <c r="KI24" s="395"/>
      <c r="KJ24" s="395"/>
      <c r="KK24" s="395"/>
      <c r="KL24" s="395"/>
      <c r="KM24" s="395"/>
      <c r="KN24" s="395"/>
      <c r="KO24" s="395"/>
      <c r="KP24" s="395"/>
      <c r="KQ24" s="395"/>
      <c r="KR24" s="395"/>
      <c r="KS24" s="395"/>
      <c r="KT24" s="395"/>
      <c r="KU24" s="395"/>
      <c r="KV24" s="395"/>
      <c r="KW24" s="395"/>
      <c r="KX24" s="395"/>
      <c r="KY24" s="395"/>
      <c r="KZ24" s="395"/>
      <c r="LA24" s="395"/>
      <c r="LB24" s="395"/>
      <c r="LC24" s="395"/>
      <c r="LD24" s="395"/>
      <c r="LE24" s="395"/>
      <c r="LF24" s="395"/>
      <c r="LG24" s="395"/>
      <c r="LH24" s="395"/>
      <c r="LI24" s="395"/>
      <c r="LJ24" s="395"/>
      <c r="LK24" s="395"/>
      <c r="LL24" s="395"/>
      <c r="LM24" s="395"/>
      <c r="LN24" s="395"/>
      <c r="LO24" s="395"/>
      <c r="LP24" s="395"/>
      <c r="LQ24" s="395"/>
      <c r="LR24" s="395"/>
      <c r="LS24" s="395"/>
      <c r="LT24" s="395"/>
      <c r="LU24" s="395"/>
      <c r="LV24" s="395"/>
      <c r="LW24" s="395"/>
      <c r="LX24" s="395"/>
      <c r="LY24" s="395"/>
      <c r="LZ24" s="395"/>
      <c r="MA24" s="395"/>
      <c r="MB24" s="395"/>
      <c r="MC24" s="395"/>
      <c r="MD24" s="395"/>
      <c r="ME24" s="395"/>
      <c r="MF24" s="395"/>
      <c r="MG24" s="395"/>
      <c r="MH24" s="395"/>
      <c r="MI24" s="395"/>
      <c r="MJ24" s="395"/>
      <c r="MK24" s="395"/>
      <c r="ML24" s="395"/>
      <c r="MM24" s="395"/>
      <c r="MN24" s="395"/>
      <c r="MO24" s="395"/>
      <c r="MP24" s="395"/>
      <c r="MQ24" s="395"/>
      <c r="MR24" s="395"/>
      <c r="MS24" s="395"/>
      <c r="MT24" s="395"/>
      <c r="MU24" s="395"/>
      <c r="MV24" s="395"/>
      <c r="MW24" s="395"/>
      <c r="MX24" s="395"/>
      <c r="MY24" s="395"/>
      <c r="MZ24" s="395"/>
      <c r="NA24" s="395"/>
      <c r="NB24" s="395"/>
      <c r="NC24" s="395"/>
      <c r="ND24" s="395"/>
      <c r="NE24" s="395"/>
      <c r="NF24" s="395"/>
      <c r="NG24" s="395"/>
      <c r="NH24" s="395"/>
      <c r="NI24" s="395"/>
      <c r="NJ24" s="395"/>
      <c r="NK24" s="395"/>
      <c r="NL24" s="395"/>
      <c r="NM24" s="395"/>
      <c r="NN24" s="395"/>
      <c r="NO24" s="395"/>
      <c r="NP24" s="395"/>
      <c r="NQ24" s="395"/>
      <c r="NR24" s="395"/>
      <c r="NS24" s="395"/>
      <c r="NT24" s="395"/>
      <c r="NU24" s="395"/>
      <c r="NV24" s="395"/>
      <c r="NW24" s="395"/>
      <c r="NX24" s="395"/>
      <c r="NY24" s="395"/>
      <c r="NZ24" s="395"/>
      <c r="OA24" s="395"/>
      <c r="OB24" s="395"/>
      <c r="OC24" s="395"/>
      <c r="OD24" s="395"/>
      <c r="OE24" s="395"/>
      <c r="OF24" s="395"/>
      <c r="OG24" s="395"/>
      <c r="OH24" s="395"/>
      <c r="OI24" s="395"/>
      <c r="OJ24" s="395"/>
      <c r="OK24" s="395"/>
      <c r="OL24" s="395"/>
      <c r="OM24" s="395"/>
      <c r="ON24" s="395"/>
      <c r="OO24" s="395"/>
      <c r="OP24" s="395"/>
      <c r="OQ24" s="395"/>
      <c r="OR24" s="395"/>
      <c r="OS24" s="395"/>
      <c r="OT24" s="395"/>
      <c r="OU24" s="395"/>
      <c r="OV24" s="395"/>
      <c r="OW24" s="395"/>
      <c r="OX24" s="395"/>
      <c r="OY24" s="395"/>
      <c r="OZ24" s="395"/>
      <c r="PA24" s="395"/>
      <c r="PB24" s="395"/>
      <c r="PC24" s="395"/>
      <c r="PD24" s="395"/>
      <c r="PE24" s="395"/>
      <c r="PF24" s="395"/>
      <c r="PG24" s="395"/>
      <c r="PH24" s="395"/>
      <c r="PI24" s="395"/>
      <c r="PJ24" s="395"/>
      <c r="PK24" s="395"/>
      <c r="PL24" s="395"/>
      <c r="PM24" s="395"/>
      <c r="PN24" s="395"/>
      <c r="PO24" s="395"/>
      <c r="PP24" s="395"/>
      <c r="PQ24" s="395"/>
      <c r="PR24" s="395"/>
      <c r="PS24" s="395"/>
      <c r="PT24" s="395"/>
      <c r="PU24" s="395"/>
      <c r="PV24" s="395"/>
      <c r="PW24" s="395"/>
      <c r="PX24" s="395"/>
      <c r="PY24" s="395"/>
      <c r="PZ24" s="395"/>
      <c r="QA24" s="395"/>
      <c r="QB24" s="395"/>
      <c r="QC24" s="395"/>
      <c r="QD24" s="395"/>
      <c r="QE24" s="395"/>
      <c r="QF24" s="395"/>
      <c r="QG24" s="395"/>
      <c r="QH24" s="395"/>
      <c r="QI24" s="395"/>
      <c r="QJ24" s="395"/>
      <c r="QK24" s="395"/>
      <c r="QL24" s="395"/>
      <c r="QM24" s="395"/>
      <c r="QN24" s="395"/>
      <c r="QO24" s="395"/>
      <c r="QP24" s="395"/>
      <c r="QQ24" s="395"/>
      <c r="QR24" s="395"/>
      <c r="QS24" s="395"/>
      <c r="QT24" s="395"/>
      <c r="QU24" s="395"/>
      <c r="QV24" s="395"/>
      <c r="QW24" s="395"/>
      <c r="QX24" s="395"/>
      <c r="QY24" s="395"/>
      <c r="QZ24" s="395"/>
      <c r="RA24" s="395"/>
      <c r="RB24" s="395"/>
      <c r="RC24" s="395"/>
      <c r="RD24" s="395"/>
      <c r="RE24" s="395"/>
      <c r="RF24" s="395"/>
      <c r="RG24" s="395"/>
      <c r="RH24" s="395"/>
      <c r="RI24" s="395"/>
      <c r="RJ24" s="395"/>
      <c r="RK24" s="395"/>
      <c r="RL24" s="395"/>
      <c r="RM24" s="395"/>
      <c r="RN24" s="395"/>
      <c r="RO24" s="395"/>
      <c r="RP24" s="395"/>
      <c r="RQ24" s="395"/>
      <c r="RR24" s="395"/>
      <c r="RS24" s="395"/>
      <c r="RT24" s="395"/>
      <c r="RU24" s="395"/>
      <c r="RV24" s="395"/>
      <c r="RW24" s="395"/>
      <c r="RX24" s="395"/>
      <c r="RY24" s="395"/>
      <c r="RZ24" s="395"/>
      <c r="SA24" s="395"/>
      <c r="SB24" s="395"/>
      <c r="SC24" s="395"/>
      <c r="SD24" s="395"/>
      <c r="SE24" s="395"/>
      <c r="SF24" s="395"/>
      <c r="SG24" s="395"/>
      <c r="SH24" s="395"/>
      <c r="SI24" s="395"/>
      <c r="SJ24" s="395"/>
      <c r="SK24" s="395"/>
      <c r="SL24" s="395"/>
      <c r="SM24" s="395"/>
      <c r="SN24" s="395"/>
      <c r="SO24" s="395"/>
      <c r="SP24" s="395"/>
      <c r="SQ24" s="395"/>
      <c r="SR24" s="395"/>
      <c r="SS24" s="395"/>
      <c r="ST24" s="395"/>
      <c r="SU24" s="395"/>
      <c r="SV24" s="395"/>
      <c r="SW24" s="395"/>
      <c r="SX24" s="395"/>
      <c r="SY24" s="395"/>
      <c r="SZ24" s="395"/>
      <c r="TA24" s="395"/>
      <c r="TB24" s="395"/>
      <c r="TC24" s="395"/>
      <c r="TD24" s="395"/>
      <c r="TE24" s="395"/>
      <c r="TF24" s="395"/>
      <c r="TG24" s="395"/>
      <c r="TH24" s="395"/>
      <c r="TI24" s="395"/>
      <c r="TJ24" s="395"/>
      <c r="TK24" s="395"/>
      <c r="TL24" s="395"/>
      <c r="TM24" s="395"/>
      <c r="TN24" s="395"/>
      <c r="TO24" s="395"/>
    </row>
    <row r="25" spans="1:535" s="6" customFormat="1" ht="20.25" customHeight="1" x14ac:dyDescent="0.2">
      <c r="A25" s="948"/>
      <c r="B25" s="948"/>
      <c r="C25" s="948"/>
      <c r="D25" s="948"/>
      <c r="E25" s="948"/>
      <c r="F25" s="948"/>
      <c r="G25" s="948"/>
      <c r="H25" s="272"/>
      <c r="I25" s="272"/>
      <c r="J25" s="51"/>
    </row>
    <row r="26" spans="1:535" ht="14.25" x14ac:dyDescent="0.2">
      <c r="C26" s="6"/>
      <c r="D26" s="6"/>
      <c r="E26" s="6"/>
      <c r="F26" s="6"/>
      <c r="G26" s="6"/>
      <c r="J26" s="186"/>
    </row>
    <row r="27" spans="1:535" ht="15" x14ac:dyDescent="0.25">
      <c r="A27" s="973"/>
      <c r="B27" s="973"/>
      <c r="C27" s="6"/>
      <c r="D27" s="6"/>
      <c r="E27" s="6"/>
      <c r="F27" s="6"/>
      <c r="G27" s="6"/>
      <c r="J27" s="273"/>
      <c r="K27" s="6"/>
    </row>
    <row r="28" spans="1:535" x14ac:dyDescent="0.2">
      <c r="J28" s="6"/>
      <c r="K28" s="6"/>
    </row>
    <row r="29" spans="1:535" x14ac:dyDescent="0.2">
      <c r="J29" s="6"/>
      <c r="K29" s="6"/>
    </row>
    <row r="30" spans="1:535" ht="13.5" customHeight="1" x14ac:dyDescent="0.2"/>
  </sheetData>
  <mergeCells count="15">
    <mergeCell ref="A1:J1"/>
    <mergeCell ref="A2:J2"/>
    <mergeCell ref="A4:B4"/>
    <mergeCell ref="C4:E4"/>
    <mergeCell ref="F4:G4"/>
    <mergeCell ref="H5:I5"/>
    <mergeCell ref="H6:I6"/>
    <mergeCell ref="A27:B27"/>
    <mergeCell ref="B5:C5"/>
    <mergeCell ref="D5:E5"/>
    <mergeCell ref="F5:G5"/>
    <mergeCell ref="F6:G6"/>
    <mergeCell ref="A25:G25"/>
    <mergeCell ref="D6:E6"/>
    <mergeCell ref="B6:C6"/>
  </mergeCells>
  <phoneticPr fontId="3" type="noConversion"/>
  <printOptions horizontalCentered="1" verticalCentered="1"/>
  <pageMargins left="0.25" right="1.0236220472440944" top="0.94" bottom="0.98425196850393704" header="0.47" footer="0.51181102362204722"/>
  <pageSetup scale="92" orientation="landscape" verticalDpi="300" r:id="rId1"/>
  <headerFooter alignWithMargins="0">
    <oddFooter>&amp;C49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O23"/>
  <sheetViews>
    <sheetView rightToLeft="1" zoomScaleSheetLayoutView="100" workbookViewId="0">
      <selection activeCell="O12" sqref="O12"/>
    </sheetView>
  </sheetViews>
  <sheetFormatPr defaultRowHeight="12.75" x14ac:dyDescent="0.2"/>
  <cols>
    <col min="1" max="1" width="17" customWidth="1"/>
    <col min="2" max="2" width="25.85546875" customWidth="1"/>
    <col min="3" max="3" width="25" customWidth="1"/>
    <col min="4" max="4" width="18" customWidth="1"/>
    <col min="5" max="5" width="18.5703125" customWidth="1"/>
    <col min="6" max="6" width="0.140625" hidden="1" customWidth="1"/>
    <col min="7" max="7" width="3.5703125" hidden="1" customWidth="1"/>
    <col min="8" max="8" width="29" hidden="1" customWidth="1"/>
    <col min="9" max="9" width="18.85546875" customWidth="1"/>
    <col min="10" max="11" width="9.140625" hidden="1" customWidth="1"/>
    <col min="12" max="12" width="1.7109375" customWidth="1"/>
    <col min="13" max="13" width="9" hidden="1" customWidth="1"/>
    <col min="14" max="14" width="6.5703125" hidden="1" customWidth="1"/>
    <col min="15" max="15" width="33" customWidth="1"/>
  </cols>
  <sheetData>
    <row r="1" spans="1:561" ht="15" x14ac:dyDescent="0.2">
      <c r="A1" s="903" t="s">
        <v>440</v>
      </c>
      <c r="B1" s="903"/>
      <c r="C1" s="903"/>
      <c r="D1" s="903"/>
      <c r="E1" s="903"/>
    </row>
    <row r="2" spans="1:561" ht="36.75" customHeight="1" x14ac:dyDescent="0.2">
      <c r="A2" s="911" t="s">
        <v>441</v>
      </c>
      <c r="B2" s="911"/>
      <c r="C2" s="911"/>
      <c r="D2" s="911"/>
      <c r="E2" s="911"/>
    </row>
    <row r="3" spans="1:561" s="6" customFormat="1" ht="14.25" customHeight="1" x14ac:dyDescent="0.25">
      <c r="A3" s="205"/>
      <c r="B3" s="205"/>
      <c r="C3" s="205"/>
      <c r="D3" s="926" t="s">
        <v>477</v>
      </c>
      <c r="E3" s="926"/>
    </row>
    <row r="4" spans="1:561" s="395" customFormat="1" ht="19.5" customHeight="1" thickBot="1" x14ac:dyDescent="0.25">
      <c r="A4" s="1020" t="s">
        <v>92</v>
      </c>
      <c r="B4" s="1020"/>
      <c r="C4" s="875"/>
      <c r="D4" s="876"/>
      <c r="E4" s="877" t="s">
        <v>93</v>
      </c>
    </row>
    <row r="5" spans="1:561" s="395" customFormat="1" ht="15" customHeight="1" x14ac:dyDescent="0.25">
      <c r="A5" s="394"/>
      <c r="B5" s="390" t="s">
        <v>94</v>
      </c>
      <c r="C5" s="390" t="s">
        <v>95</v>
      </c>
      <c r="D5" s="390" t="s">
        <v>96</v>
      </c>
      <c r="E5" s="744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</row>
    <row r="6" spans="1:561" s="348" customFormat="1" ht="45.75" customHeight="1" thickBot="1" x14ac:dyDescent="0.3">
      <c r="A6" s="327" t="s">
        <v>50</v>
      </c>
      <c r="B6" s="370" t="s">
        <v>328</v>
      </c>
      <c r="C6" s="370" t="s">
        <v>97</v>
      </c>
      <c r="D6" s="370" t="s">
        <v>327</v>
      </c>
      <c r="E6" s="347" t="s">
        <v>26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</row>
    <row r="7" spans="1:561" s="289" customFormat="1" ht="15" customHeight="1" x14ac:dyDescent="0.2">
      <c r="A7" s="742" t="s">
        <v>356</v>
      </c>
      <c r="B7" s="482">
        <f>طابوق!K9+بلوك!I9+حجر!G10+رمل!G10+حصى!G11+سمنت!I9+جص!G10+كاشي2!G9+حديد!F9+ابواب!K9+شبابيك!I9+ت.كهربائيه2!G9+ت.صحيه3!H9+'الكلفه الكليه'!I9</f>
        <v>6502130</v>
      </c>
      <c r="C7" s="482">
        <v>4686100</v>
      </c>
      <c r="D7" s="482">
        <f>B7+C7</f>
        <v>11188230</v>
      </c>
      <c r="E7" s="743" t="s">
        <v>357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5"/>
      <c r="DV7" s="395"/>
      <c r="DW7" s="395"/>
      <c r="DX7" s="395"/>
      <c r="DY7" s="395"/>
      <c r="DZ7" s="395"/>
      <c r="EA7" s="395"/>
      <c r="EB7" s="395"/>
      <c r="EC7" s="395"/>
      <c r="ED7" s="395"/>
      <c r="EE7" s="395"/>
      <c r="EF7" s="395"/>
      <c r="EG7" s="395"/>
      <c r="EH7" s="395"/>
      <c r="EI7" s="395"/>
      <c r="EJ7" s="395"/>
      <c r="EK7" s="395"/>
      <c r="EL7" s="395"/>
      <c r="EM7" s="395"/>
      <c r="EN7" s="395"/>
      <c r="EO7" s="395"/>
      <c r="EP7" s="395"/>
      <c r="EQ7" s="395"/>
      <c r="ER7" s="395"/>
      <c r="ES7" s="395"/>
      <c r="ET7" s="395"/>
      <c r="EU7" s="395"/>
      <c r="EV7" s="395"/>
      <c r="EW7" s="395"/>
      <c r="EX7" s="395"/>
      <c r="EY7" s="395"/>
      <c r="EZ7" s="395"/>
      <c r="FA7" s="395"/>
      <c r="FB7" s="395"/>
      <c r="FC7" s="395"/>
      <c r="FD7" s="395"/>
      <c r="FE7" s="395"/>
      <c r="FF7" s="395"/>
      <c r="FG7" s="395"/>
      <c r="FH7" s="395"/>
      <c r="FI7" s="395"/>
      <c r="FJ7" s="395"/>
      <c r="FK7" s="395"/>
      <c r="FL7" s="395"/>
      <c r="FM7" s="395"/>
      <c r="FN7" s="395"/>
      <c r="FO7" s="395"/>
      <c r="FP7" s="395"/>
      <c r="FQ7" s="395"/>
      <c r="FR7" s="395"/>
      <c r="FS7" s="395"/>
      <c r="FT7" s="395"/>
      <c r="FU7" s="395"/>
      <c r="FV7" s="395"/>
      <c r="FW7" s="395"/>
      <c r="FX7" s="395"/>
      <c r="FY7" s="395"/>
      <c r="FZ7" s="395"/>
      <c r="GA7" s="395"/>
      <c r="GB7" s="395"/>
      <c r="GC7" s="395"/>
      <c r="GD7" s="395"/>
      <c r="GE7" s="395"/>
      <c r="GF7" s="395"/>
      <c r="GG7" s="395"/>
      <c r="GH7" s="395"/>
      <c r="GI7" s="395"/>
      <c r="GJ7" s="395"/>
      <c r="GK7" s="395"/>
      <c r="GL7" s="395"/>
      <c r="GM7" s="395"/>
      <c r="GN7" s="395"/>
      <c r="GO7" s="395"/>
      <c r="GP7" s="395"/>
      <c r="GQ7" s="395"/>
      <c r="GR7" s="395"/>
      <c r="GS7" s="395"/>
      <c r="GT7" s="395"/>
      <c r="GU7" s="395"/>
      <c r="GV7" s="395"/>
      <c r="GW7" s="395"/>
      <c r="GX7" s="395"/>
      <c r="GY7" s="395"/>
      <c r="GZ7" s="395"/>
      <c r="HA7" s="395"/>
      <c r="HB7" s="395"/>
      <c r="HC7" s="395"/>
      <c r="HD7" s="395"/>
      <c r="HE7" s="395"/>
      <c r="HF7" s="395"/>
      <c r="HG7" s="395"/>
      <c r="HH7" s="395"/>
      <c r="HI7" s="395"/>
      <c r="HJ7" s="395"/>
      <c r="HK7" s="395"/>
      <c r="HL7" s="395"/>
      <c r="HM7" s="395"/>
      <c r="HN7" s="395"/>
      <c r="HO7" s="395"/>
      <c r="HP7" s="395"/>
      <c r="HQ7" s="395"/>
      <c r="HR7" s="395"/>
      <c r="HS7" s="395"/>
      <c r="HT7" s="395"/>
      <c r="HU7" s="395"/>
      <c r="HV7" s="395"/>
      <c r="HW7" s="395"/>
      <c r="HX7" s="395"/>
      <c r="HY7" s="395"/>
      <c r="HZ7" s="395"/>
      <c r="IA7" s="395"/>
      <c r="IB7" s="395"/>
      <c r="IC7" s="395"/>
      <c r="ID7" s="395"/>
      <c r="IE7" s="395"/>
      <c r="IF7" s="395"/>
      <c r="IG7" s="395"/>
      <c r="IH7" s="395"/>
      <c r="II7" s="395"/>
      <c r="IJ7" s="395"/>
      <c r="IK7" s="395"/>
      <c r="IL7" s="395"/>
      <c r="IM7" s="395"/>
      <c r="IN7" s="395"/>
      <c r="IO7" s="395"/>
      <c r="IP7" s="395"/>
      <c r="IQ7" s="395"/>
      <c r="IR7" s="395"/>
      <c r="IS7" s="395"/>
      <c r="IT7" s="395"/>
      <c r="IU7" s="395"/>
      <c r="IV7" s="395"/>
      <c r="IW7" s="395"/>
      <c r="IX7" s="395"/>
      <c r="IY7" s="395"/>
      <c r="IZ7" s="395"/>
      <c r="JA7" s="395"/>
      <c r="JB7" s="395"/>
      <c r="JC7" s="395"/>
      <c r="JD7" s="395"/>
      <c r="JE7" s="395"/>
      <c r="JF7" s="395"/>
      <c r="JG7" s="395"/>
      <c r="JH7" s="395"/>
      <c r="JI7" s="395"/>
      <c r="JJ7" s="395"/>
      <c r="JK7" s="395"/>
      <c r="JL7" s="395"/>
      <c r="JM7" s="395"/>
      <c r="JN7" s="395"/>
      <c r="JO7" s="395"/>
      <c r="JP7" s="395"/>
      <c r="JQ7" s="395"/>
      <c r="JR7" s="395"/>
      <c r="JS7" s="395"/>
      <c r="JT7" s="395"/>
      <c r="JU7" s="395"/>
      <c r="JV7" s="395"/>
      <c r="JW7" s="395"/>
      <c r="JX7" s="395"/>
      <c r="JY7" s="395"/>
      <c r="JZ7" s="395"/>
      <c r="KA7" s="395"/>
      <c r="KB7" s="395"/>
      <c r="KC7" s="395"/>
      <c r="KD7" s="395"/>
      <c r="KE7" s="395"/>
      <c r="KF7" s="395"/>
      <c r="KG7" s="395"/>
      <c r="KH7" s="395"/>
      <c r="KI7" s="395"/>
      <c r="KJ7" s="395"/>
      <c r="KK7" s="395"/>
      <c r="KL7" s="395"/>
      <c r="KM7" s="395"/>
      <c r="KN7" s="395"/>
      <c r="KO7" s="395"/>
      <c r="KP7" s="395"/>
      <c r="KQ7" s="395"/>
      <c r="KR7" s="395"/>
      <c r="KS7" s="395"/>
      <c r="KT7" s="395"/>
      <c r="KU7" s="395"/>
      <c r="KV7" s="395"/>
      <c r="KW7" s="395"/>
      <c r="KX7" s="395"/>
      <c r="KY7" s="395"/>
      <c r="KZ7" s="395"/>
      <c r="LA7" s="395"/>
      <c r="LB7" s="395"/>
      <c r="LC7" s="395"/>
      <c r="LD7" s="395"/>
      <c r="LE7" s="395"/>
      <c r="LF7" s="395"/>
      <c r="LG7" s="395"/>
      <c r="LH7" s="395"/>
      <c r="LI7" s="395"/>
      <c r="LJ7" s="395"/>
      <c r="LK7" s="395"/>
      <c r="LL7" s="395"/>
      <c r="LM7" s="395"/>
      <c r="LN7" s="395"/>
      <c r="LO7" s="395"/>
      <c r="LP7" s="395"/>
      <c r="LQ7" s="395"/>
      <c r="LR7" s="395"/>
      <c r="LS7" s="395"/>
      <c r="LT7" s="395"/>
      <c r="LU7" s="395"/>
      <c r="LV7" s="395"/>
      <c r="LW7" s="395"/>
      <c r="LX7" s="395"/>
      <c r="LY7" s="395"/>
      <c r="LZ7" s="395"/>
      <c r="MA7" s="395"/>
      <c r="MB7" s="395"/>
      <c r="MC7" s="395"/>
      <c r="MD7" s="395"/>
      <c r="ME7" s="395"/>
      <c r="MF7" s="395"/>
      <c r="MG7" s="395"/>
      <c r="MH7" s="395"/>
      <c r="MI7" s="395"/>
      <c r="MJ7" s="395"/>
      <c r="MK7" s="395"/>
      <c r="ML7" s="395"/>
      <c r="MM7" s="395"/>
      <c r="MN7" s="395"/>
      <c r="MO7" s="395"/>
      <c r="MP7" s="395"/>
      <c r="MQ7" s="395"/>
      <c r="MR7" s="395"/>
      <c r="MS7" s="395"/>
      <c r="MT7" s="395"/>
      <c r="MU7" s="395"/>
      <c r="MV7" s="395"/>
      <c r="MW7" s="395"/>
      <c r="MX7" s="395"/>
      <c r="MY7" s="395"/>
      <c r="MZ7" s="395"/>
      <c r="NA7" s="395"/>
      <c r="NB7" s="395"/>
      <c r="NC7" s="395"/>
      <c r="ND7" s="395"/>
      <c r="NE7" s="395"/>
      <c r="NF7" s="395"/>
      <c r="NG7" s="395"/>
      <c r="NH7" s="395"/>
      <c r="NI7" s="395"/>
      <c r="NJ7" s="395"/>
      <c r="NK7" s="395"/>
      <c r="NL7" s="395"/>
      <c r="NM7" s="395"/>
      <c r="NN7" s="395"/>
      <c r="NO7" s="395"/>
      <c r="NP7" s="395"/>
      <c r="NQ7" s="395"/>
      <c r="NR7" s="395"/>
      <c r="NS7" s="395"/>
      <c r="NT7" s="395"/>
      <c r="NU7" s="395"/>
      <c r="NV7" s="395"/>
      <c r="NW7" s="395"/>
      <c r="NX7" s="395"/>
      <c r="NY7" s="395"/>
      <c r="NZ7" s="395"/>
      <c r="OA7" s="395"/>
      <c r="OB7" s="395"/>
      <c r="OC7" s="395"/>
      <c r="OD7" s="395"/>
      <c r="OE7" s="395"/>
      <c r="OF7" s="395"/>
      <c r="OG7" s="395"/>
      <c r="OH7" s="395"/>
      <c r="OI7" s="395"/>
      <c r="OJ7" s="395"/>
      <c r="OK7" s="395"/>
      <c r="OL7" s="395"/>
      <c r="OM7" s="395"/>
      <c r="ON7" s="395"/>
      <c r="OO7" s="395"/>
      <c r="OP7" s="395"/>
      <c r="OQ7" s="395"/>
      <c r="OR7" s="395"/>
      <c r="OS7" s="395"/>
      <c r="OT7" s="395"/>
      <c r="OU7" s="395"/>
      <c r="OV7" s="395"/>
      <c r="OW7" s="395"/>
      <c r="OX7" s="395"/>
      <c r="OY7" s="395"/>
      <c r="OZ7" s="395"/>
      <c r="PA7" s="395"/>
      <c r="PB7" s="395"/>
      <c r="PC7" s="395"/>
      <c r="PD7" s="395"/>
      <c r="PE7" s="395"/>
      <c r="PF7" s="395"/>
      <c r="PG7" s="395"/>
      <c r="PH7" s="395"/>
      <c r="PI7" s="395"/>
      <c r="PJ7" s="395"/>
      <c r="PK7" s="395"/>
      <c r="PL7" s="395"/>
      <c r="PM7" s="395"/>
      <c r="PN7" s="395"/>
      <c r="PO7" s="395"/>
      <c r="PP7" s="395"/>
      <c r="PQ7" s="395"/>
      <c r="PR7" s="395"/>
      <c r="PS7" s="395"/>
      <c r="PT7" s="395"/>
      <c r="PU7" s="395"/>
      <c r="PV7" s="395"/>
      <c r="PW7" s="395"/>
      <c r="PX7" s="395"/>
      <c r="PY7" s="395"/>
      <c r="PZ7" s="395"/>
      <c r="QA7" s="395"/>
      <c r="QB7" s="395"/>
      <c r="QC7" s="395"/>
      <c r="QD7" s="395"/>
      <c r="QE7" s="395"/>
      <c r="QF7" s="395"/>
      <c r="QG7" s="395"/>
      <c r="QH7" s="395"/>
      <c r="QI7" s="395"/>
      <c r="QJ7" s="395"/>
      <c r="QK7" s="395"/>
      <c r="QL7" s="395"/>
      <c r="QM7" s="395"/>
      <c r="QN7" s="395"/>
      <c r="QO7" s="395"/>
      <c r="QP7" s="395"/>
      <c r="QQ7" s="395"/>
      <c r="QR7" s="395"/>
      <c r="QS7" s="395"/>
      <c r="QT7" s="395"/>
      <c r="QU7" s="395"/>
      <c r="QV7" s="395"/>
      <c r="QW7" s="395"/>
      <c r="QX7" s="395"/>
      <c r="QY7" s="395"/>
      <c r="QZ7" s="395"/>
      <c r="RA7" s="395"/>
      <c r="RB7" s="395"/>
      <c r="RC7" s="395"/>
      <c r="RD7" s="395"/>
      <c r="RE7" s="395"/>
      <c r="RF7" s="395"/>
      <c r="RG7" s="395"/>
      <c r="RH7" s="395"/>
      <c r="RI7" s="395"/>
      <c r="RJ7" s="395"/>
      <c r="RK7" s="395"/>
      <c r="RL7" s="395"/>
      <c r="RM7" s="395"/>
      <c r="RN7" s="395"/>
      <c r="RO7" s="395"/>
      <c r="RP7" s="395"/>
      <c r="RQ7" s="395"/>
      <c r="RR7" s="395"/>
      <c r="RS7" s="395"/>
      <c r="RT7" s="395"/>
      <c r="RU7" s="395"/>
      <c r="RV7" s="395"/>
      <c r="RW7" s="395"/>
      <c r="RX7" s="395"/>
      <c r="RY7" s="395"/>
      <c r="RZ7" s="395"/>
      <c r="SA7" s="395"/>
      <c r="SB7" s="395"/>
      <c r="SC7" s="395"/>
      <c r="SD7" s="395"/>
      <c r="SE7" s="395"/>
      <c r="SF7" s="395"/>
      <c r="SG7" s="395"/>
      <c r="SH7" s="395"/>
      <c r="SI7" s="395"/>
      <c r="SJ7" s="395"/>
      <c r="SK7" s="395"/>
      <c r="SL7" s="395"/>
      <c r="SM7" s="395"/>
      <c r="SN7" s="395"/>
      <c r="SO7" s="395"/>
      <c r="SP7" s="395"/>
      <c r="SQ7" s="395"/>
      <c r="SR7" s="395"/>
      <c r="SS7" s="395"/>
      <c r="ST7" s="395"/>
      <c r="SU7" s="395"/>
      <c r="SV7" s="395"/>
      <c r="SW7" s="395"/>
      <c r="SX7" s="395"/>
      <c r="SY7" s="395"/>
      <c r="SZ7" s="395"/>
      <c r="TA7" s="395"/>
      <c r="TB7" s="395"/>
      <c r="TC7" s="395"/>
      <c r="TD7" s="395"/>
      <c r="TE7" s="395"/>
      <c r="TF7" s="395"/>
      <c r="TG7" s="395"/>
      <c r="TH7" s="395"/>
      <c r="TI7" s="395"/>
      <c r="TJ7" s="395"/>
      <c r="TK7" s="395"/>
      <c r="TL7" s="395"/>
      <c r="TM7" s="395"/>
      <c r="TN7" s="395"/>
      <c r="TO7" s="395"/>
      <c r="TP7" s="395"/>
      <c r="TQ7" s="395"/>
      <c r="TR7" s="395"/>
      <c r="TS7" s="395"/>
      <c r="TT7" s="395"/>
      <c r="TU7" s="395"/>
      <c r="TV7" s="395"/>
      <c r="TW7" s="395"/>
      <c r="TX7" s="395"/>
      <c r="TY7" s="395"/>
      <c r="TZ7" s="395"/>
      <c r="UA7" s="395"/>
      <c r="UB7" s="395"/>
      <c r="UC7" s="395"/>
      <c r="UD7" s="395"/>
      <c r="UE7" s="395"/>
      <c r="UF7" s="395"/>
      <c r="UG7" s="395"/>
      <c r="UH7" s="395"/>
      <c r="UI7" s="395"/>
      <c r="UJ7" s="395"/>
      <c r="UK7" s="395"/>
      <c r="UL7" s="395"/>
      <c r="UM7" s="395"/>
      <c r="UN7" s="395"/>
      <c r="UO7" s="395"/>
    </row>
    <row r="8" spans="1:561" s="289" customFormat="1" ht="15" customHeight="1" x14ac:dyDescent="0.2">
      <c r="A8" s="870" t="s">
        <v>30</v>
      </c>
      <c r="B8" s="79">
        <f>طابوق!K10+بلوك!I10+حجر!G11+رمل!G11+حصى!G12+سمنت!I10+جص!G11+كاشي2!G10+حديد!F10+ابواب!K10+شبابيك!I10+ت.كهربائيه2!G10+ت.صحيه3!H10+'الكلفه الكليه'!I10</f>
        <v>13556207</v>
      </c>
      <c r="C8" s="79">
        <v>20252519</v>
      </c>
      <c r="D8" s="79">
        <f t="shared" ref="D8:D21" si="0">B8+C8</f>
        <v>33808726</v>
      </c>
      <c r="E8" s="9" t="s">
        <v>31</v>
      </c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395"/>
      <c r="BW8" s="395"/>
      <c r="BX8" s="395"/>
      <c r="BY8" s="395"/>
      <c r="BZ8" s="395"/>
      <c r="CA8" s="395"/>
      <c r="CB8" s="395"/>
      <c r="CC8" s="395"/>
      <c r="CD8" s="395"/>
      <c r="CE8" s="395"/>
      <c r="CF8" s="395"/>
      <c r="CG8" s="395"/>
      <c r="CH8" s="395"/>
      <c r="CI8" s="395"/>
      <c r="CJ8" s="395"/>
      <c r="CK8" s="395"/>
      <c r="CL8" s="395"/>
      <c r="CM8" s="395"/>
      <c r="CN8" s="395"/>
      <c r="CO8" s="395"/>
      <c r="CP8" s="395"/>
      <c r="CQ8" s="395"/>
      <c r="CR8" s="395"/>
      <c r="CS8" s="395"/>
      <c r="CT8" s="395"/>
      <c r="CU8" s="395"/>
      <c r="CV8" s="395"/>
      <c r="CW8" s="395"/>
      <c r="CX8" s="395"/>
      <c r="CY8" s="395"/>
      <c r="CZ8" s="395"/>
      <c r="DA8" s="395"/>
      <c r="DB8" s="395"/>
      <c r="DC8" s="395"/>
      <c r="DD8" s="395"/>
      <c r="DE8" s="395"/>
      <c r="DF8" s="395"/>
      <c r="DG8" s="395"/>
      <c r="DH8" s="395"/>
      <c r="DI8" s="395"/>
      <c r="DJ8" s="395"/>
      <c r="DK8" s="395"/>
      <c r="DL8" s="395"/>
      <c r="DM8" s="395"/>
      <c r="DN8" s="395"/>
      <c r="DO8" s="395"/>
      <c r="DP8" s="395"/>
      <c r="DQ8" s="395"/>
      <c r="DR8" s="395"/>
      <c r="DS8" s="395"/>
      <c r="DT8" s="395"/>
      <c r="DU8" s="395"/>
      <c r="DV8" s="395"/>
      <c r="DW8" s="395"/>
      <c r="DX8" s="395"/>
      <c r="DY8" s="395"/>
      <c r="DZ8" s="395"/>
      <c r="EA8" s="395"/>
      <c r="EB8" s="395"/>
      <c r="EC8" s="395"/>
      <c r="ED8" s="395"/>
      <c r="EE8" s="395"/>
      <c r="EF8" s="395"/>
      <c r="EG8" s="395"/>
      <c r="EH8" s="395"/>
      <c r="EI8" s="395"/>
      <c r="EJ8" s="395"/>
      <c r="EK8" s="395"/>
      <c r="EL8" s="395"/>
      <c r="EM8" s="395"/>
      <c r="EN8" s="395"/>
      <c r="EO8" s="395"/>
      <c r="EP8" s="395"/>
      <c r="EQ8" s="395"/>
      <c r="ER8" s="395"/>
      <c r="ES8" s="395"/>
      <c r="ET8" s="395"/>
      <c r="EU8" s="395"/>
      <c r="EV8" s="395"/>
      <c r="EW8" s="395"/>
      <c r="EX8" s="395"/>
      <c r="EY8" s="395"/>
      <c r="EZ8" s="395"/>
      <c r="FA8" s="395"/>
      <c r="FB8" s="395"/>
      <c r="FC8" s="395"/>
      <c r="FD8" s="395"/>
      <c r="FE8" s="395"/>
      <c r="FF8" s="395"/>
      <c r="FG8" s="395"/>
      <c r="FH8" s="395"/>
      <c r="FI8" s="395"/>
      <c r="FJ8" s="395"/>
      <c r="FK8" s="395"/>
      <c r="FL8" s="395"/>
      <c r="FM8" s="395"/>
      <c r="FN8" s="395"/>
      <c r="FO8" s="395"/>
      <c r="FP8" s="395"/>
      <c r="FQ8" s="395"/>
      <c r="FR8" s="395"/>
      <c r="FS8" s="395"/>
      <c r="FT8" s="395"/>
      <c r="FU8" s="395"/>
      <c r="FV8" s="395"/>
      <c r="FW8" s="395"/>
      <c r="FX8" s="395"/>
      <c r="FY8" s="395"/>
      <c r="FZ8" s="395"/>
      <c r="GA8" s="395"/>
      <c r="GB8" s="395"/>
      <c r="GC8" s="395"/>
      <c r="GD8" s="395"/>
      <c r="GE8" s="395"/>
      <c r="GF8" s="395"/>
      <c r="GG8" s="395"/>
      <c r="GH8" s="395"/>
      <c r="GI8" s="395"/>
      <c r="GJ8" s="395"/>
      <c r="GK8" s="395"/>
      <c r="GL8" s="395"/>
      <c r="GM8" s="395"/>
      <c r="GN8" s="395"/>
      <c r="GO8" s="395"/>
      <c r="GP8" s="395"/>
      <c r="GQ8" s="395"/>
      <c r="GR8" s="395"/>
      <c r="GS8" s="395"/>
      <c r="GT8" s="395"/>
      <c r="GU8" s="395"/>
      <c r="GV8" s="395"/>
      <c r="GW8" s="395"/>
      <c r="GX8" s="395"/>
      <c r="GY8" s="395"/>
      <c r="GZ8" s="395"/>
      <c r="HA8" s="395"/>
      <c r="HB8" s="395"/>
      <c r="HC8" s="395"/>
      <c r="HD8" s="395"/>
      <c r="HE8" s="395"/>
      <c r="HF8" s="395"/>
      <c r="HG8" s="395"/>
      <c r="HH8" s="395"/>
      <c r="HI8" s="395"/>
      <c r="HJ8" s="395"/>
      <c r="HK8" s="395"/>
      <c r="HL8" s="395"/>
      <c r="HM8" s="395"/>
      <c r="HN8" s="395"/>
      <c r="HO8" s="395"/>
      <c r="HP8" s="395"/>
      <c r="HQ8" s="395"/>
      <c r="HR8" s="395"/>
      <c r="HS8" s="395"/>
      <c r="HT8" s="395"/>
      <c r="HU8" s="395"/>
      <c r="HV8" s="395"/>
      <c r="HW8" s="395"/>
      <c r="HX8" s="395"/>
      <c r="HY8" s="395"/>
      <c r="HZ8" s="395"/>
      <c r="IA8" s="395"/>
      <c r="IB8" s="395"/>
      <c r="IC8" s="395"/>
      <c r="ID8" s="395"/>
      <c r="IE8" s="395"/>
      <c r="IF8" s="395"/>
      <c r="IG8" s="395"/>
      <c r="IH8" s="395"/>
      <c r="II8" s="395"/>
      <c r="IJ8" s="395"/>
      <c r="IK8" s="395"/>
      <c r="IL8" s="395"/>
      <c r="IM8" s="395"/>
      <c r="IN8" s="395"/>
      <c r="IO8" s="395"/>
      <c r="IP8" s="395"/>
      <c r="IQ8" s="395"/>
      <c r="IR8" s="395"/>
      <c r="IS8" s="395"/>
      <c r="IT8" s="395"/>
      <c r="IU8" s="395"/>
      <c r="IV8" s="395"/>
      <c r="IW8" s="395"/>
      <c r="IX8" s="395"/>
      <c r="IY8" s="395"/>
      <c r="IZ8" s="395"/>
      <c r="JA8" s="395"/>
      <c r="JB8" s="395"/>
      <c r="JC8" s="395"/>
      <c r="JD8" s="395"/>
      <c r="JE8" s="395"/>
      <c r="JF8" s="395"/>
      <c r="JG8" s="395"/>
      <c r="JH8" s="395"/>
      <c r="JI8" s="395"/>
      <c r="JJ8" s="395"/>
      <c r="JK8" s="395"/>
      <c r="JL8" s="395"/>
      <c r="JM8" s="395"/>
      <c r="JN8" s="395"/>
      <c r="JO8" s="395"/>
      <c r="JP8" s="395"/>
      <c r="JQ8" s="395"/>
      <c r="JR8" s="395"/>
      <c r="JS8" s="395"/>
      <c r="JT8" s="395"/>
      <c r="JU8" s="395"/>
      <c r="JV8" s="395"/>
      <c r="JW8" s="395"/>
      <c r="JX8" s="395"/>
      <c r="JY8" s="395"/>
      <c r="JZ8" s="395"/>
      <c r="KA8" s="395"/>
      <c r="KB8" s="395"/>
      <c r="KC8" s="395"/>
      <c r="KD8" s="395"/>
      <c r="KE8" s="395"/>
      <c r="KF8" s="395"/>
      <c r="KG8" s="395"/>
      <c r="KH8" s="395"/>
      <c r="KI8" s="395"/>
      <c r="KJ8" s="395"/>
      <c r="KK8" s="395"/>
      <c r="KL8" s="395"/>
      <c r="KM8" s="395"/>
      <c r="KN8" s="395"/>
      <c r="KO8" s="395"/>
      <c r="KP8" s="395"/>
      <c r="KQ8" s="395"/>
      <c r="KR8" s="395"/>
      <c r="KS8" s="395"/>
      <c r="KT8" s="395"/>
      <c r="KU8" s="395"/>
      <c r="KV8" s="395"/>
      <c r="KW8" s="395"/>
      <c r="KX8" s="395"/>
      <c r="KY8" s="395"/>
      <c r="KZ8" s="395"/>
      <c r="LA8" s="395"/>
      <c r="LB8" s="395"/>
      <c r="LC8" s="395"/>
      <c r="LD8" s="395"/>
      <c r="LE8" s="395"/>
      <c r="LF8" s="395"/>
      <c r="LG8" s="395"/>
      <c r="LH8" s="395"/>
      <c r="LI8" s="395"/>
      <c r="LJ8" s="395"/>
      <c r="LK8" s="395"/>
      <c r="LL8" s="395"/>
      <c r="LM8" s="395"/>
      <c r="LN8" s="395"/>
      <c r="LO8" s="395"/>
      <c r="LP8" s="395"/>
      <c r="LQ8" s="395"/>
      <c r="LR8" s="395"/>
      <c r="LS8" s="395"/>
      <c r="LT8" s="395"/>
      <c r="LU8" s="395"/>
      <c r="LV8" s="395"/>
      <c r="LW8" s="395"/>
      <c r="LX8" s="395"/>
      <c r="LY8" s="395"/>
      <c r="LZ8" s="395"/>
      <c r="MA8" s="395"/>
      <c r="MB8" s="395"/>
      <c r="MC8" s="395"/>
      <c r="MD8" s="395"/>
      <c r="ME8" s="395"/>
      <c r="MF8" s="395"/>
      <c r="MG8" s="395"/>
      <c r="MH8" s="395"/>
      <c r="MI8" s="395"/>
      <c r="MJ8" s="395"/>
      <c r="MK8" s="395"/>
      <c r="ML8" s="395"/>
      <c r="MM8" s="395"/>
      <c r="MN8" s="395"/>
      <c r="MO8" s="395"/>
      <c r="MP8" s="395"/>
      <c r="MQ8" s="395"/>
      <c r="MR8" s="395"/>
      <c r="MS8" s="395"/>
      <c r="MT8" s="395"/>
      <c r="MU8" s="395"/>
      <c r="MV8" s="395"/>
      <c r="MW8" s="395"/>
      <c r="MX8" s="395"/>
      <c r="MY8" s="395"/>
      <c r="MZ8" s="395"/>
      <c r="NA8" s="395"/>
      <c r="NB8" s="395"/>
      <c r="NC8" s="395"/>
      <c r="ND8" s="395"/>
      <c r="NE8" s="395"/>
      <c r="NF8" s="395"/>
      <c r="NG8" s="395"/>
      <c r="NH8" s="395"/>
      <c r="NI8" s="395"/>
      <c r="NJ8" s="395"/>
      <c r="NK8" s="395"/>
      <c r="NL8" s="395"/>
      <c r="NM8" s="395"/>
      <c r="NN8" s="395"/>
      <c r="NO8" s="395"/>
      <c r="NP8" s="395"/>
      <c r="NQ8" s="395"/>
      <c r="NR8" s="395"/>
      <c r="NS8" s="395"/>
      <c r="NT8" s="395"/>
      <c r="NU8" s="395"/>
      <c r="NV8" s="395"/>
      <c r="NW8" s="395"/>
      <c r="NX8" s="395"/>
      <c r="NY8" s="395"/>
      <c r="NZ8" s="395"/>
      <c r="OA8" s="395"/>
      <c r="OB8" s="395"/>
      <c r="OC8" s="395"/>
      <c r="OD8" s="395"/>
      <c r="OE8" s="395"/>
      <c r="OF8" s="395"/>
      <c r="OG8" s="395"/>
      <c r="OH8" s="395"/>
      <c r="OI8" s="395"/>
      <c r="OJ8" s="395"/>
      <c r="OK8" s="395"/>
      <c r="OL8" s="395"/>
      <c r="OM8" s="395"/>
      <c r="ON8" s="395"/>
      <c r="OO8" s="395"/>
      <c r="OP8" s="395"/>
      <c r="OQ8" s="395"/>
      <c r="OR8" s="395"/>
      <c r="OS8" s="395"/>
      <c r="OT8" s="395"/>
      <c r="OU8" s="395"/>
      <c r="OV8" s="395"/>
      <c r="OW8" s="395"/>
      <c r="OX8" s="395"/>
      <c r="OY8" s="395"/>
      <c r="OZ8" s="395"/>
      <c r="PA8" s="395"/>
      <c r="PB8" s="395"/>
      <c r="PC8" s="395"/>
      <c r="PD8" s="395"/>
      <c r="PE8" s="395"/>
      <c r="PF8" s="395"/>
      <c r="PG8" s="395"/>
      <c r="PH8" s="395"/>
      <c r="PI8" s="395"/>
      <c r="PJ8" s="395"/>
      <c r="PK8" s="395"/>
      <c r="PL8" s="395"/>
      <c r="PM8" s="395"/>
      <c r="PN8" s="395"/>
      <c r="PO8" s="395"/>
      <c r="PP8" s="395"/>
      <c r="PQ8" s="395"/>
      <c r="PR8" s="395"/>
      <c r="PS8" s="395"/>
      <c r="PT8" s="395"/>
      <c r="PU8" s="395"/>
      <c r="PV8" s="395"/>
      <c r="PW8" s="395"/>
      <c r="PX8" s="395"/>
      <c r="PY8" s="395"/>
      <c r="PZ8" s="395"/>
      <c r="QA8" s="395"/>
      <c r="QB8" s="395"/>
      <c r="QC8" s="395"/>
      <c r="QD8" s="395"/>
      <c r="QE8" s="395"/>
      <c r="QF8" s="395"/>
      <c r="QG8" s="395"/>
      <c r="QH8" s="395"/>
      <c r="QI8" s="395"/>
      <c r="QJ8" s="395"/>
      <c r="QK8" s="395"/>
      <c r="QL8" s="395"/>
      <c r="QM8" s="395"/>
      <c r="QN8" s="395"/>
      <c r="QO8" s="395"/>
      <c r="QP8" s="395"/>
      <c r="QQ8" s="395"/>
      <c r="QR8" s="395"/>
      <c r="QS8" s="395"/>
      <c r="QT8" s="395"/>
      <c r="QU8" s="395"/>
      <c r="QV8" s="395"/>
      <c r="QW8" s="395"/>
      <c r="QX8" s="395"/>
      <c r="QY8" s="395"/>
      <c r="QZ8" s="395"/>
      <c r="RA8" s="395"/>
      <c r="RB8" s="395"/>
      <c r="RC8" s="395"/>
      <c r="RD8" s="395"/>
      <c r="RE8" s="395"/>
      <c r="RF8" s="395"/>
      <c r="RG8" s="395"/>
      <c r="RH8" s="395"/>
      <c r="RI8" s="395"/>
      <c r="RJ8" s="395"/>
      <c r="RK8" s="395"/>
      <c r="RL8" s="395"/>
      <c r="RM8" s="395"/>
      <c r="RN8" s="395"/>
      <c r="RO8" s="395"/>
      <c r="RP8" s="395"/>
      <c r="RQ8" s="395"/>
      <c r="RR8" s="395"/>
      <c r="RS8" s="395"/>
      <c r="RT8" s="395"/>
      <c r="RU8" s="395"/>
      <c r="RV8" s="395"/>
      <c r="RW8" s="395"/>
      <c r="RX8" s="395"/>
      <c r="RY8" s="395"/>
      <c r="RZ8" s="395"/>
      <c r="SA8" s="395"/>
      <c r="SB8" s="395"/>
      <c r="SC8" s="395"/>
      <c r="SD8" s="395"/>
      <c r="SE8" s="395"/>
      <c r="SF8" s="395"/>
      <c r="SG8" s="395"/>
      <c r="SH8" s="395"/>
      <c r="SI8" s="395"/>
      <c r="SJ8" s="395"/>
      <c r="SK8" s="395"/>
      <c r="SL8" s="395"/>
      <c r="SM8" s="395"/>
      <c r="SN8" s="395"/>
      <c r="SO8" s="395"/>
      <c r="SP8" s="395"/>
      <c r="SQ8" s="395"/>
      <c r="SR8" s="395"/>
      <c r="SS8" s="395"/>
      <c r="ST8" s="395"/>
      <c r="SU8" s="395"/>
      <c r="SV8" s="395"/>
      <c r="SW8" s="395"/>
      <c r="SX8" s="395"/>
      <c r="SY8" s="395"/>
      <c r="SZ8" s="395"/>
      <c r="TA8" s="395"/>
      <c r="TB8" s="395"/>
      <c r="TC8" s="395"/>
      <c r="TD8" s="395"/>
      <c r="TE8" s="395"/>
      <c r="TF8" s="395"/>
      <c r="TG8" s="395"/>
      <c r="TH8" s="395"/>
      <c r="TI8" s="395"/>
      <c r="TJ8" s="395"/>
      <c r="TK8" s="395"/>
      <c r="TL8" s="395"/>
      <c r="TM8" s="395"/>
      <c r="TN8" s="395"/>
      <c r="TO8" s="395"/>
      <c r="TP8" s="395"/>
      <c r="TQ8" s="395"/>
      <c r="TR8" s="395"/>
      <c r="TS8" s="395"/>
      <c r="TT8" s="395"/>
      <c r="TU8" s="395"/>
      <c r="TV8" s="395"/>
      <c r="TW8" s="395"/>
      <c r="TX8" s="395"/>
      <c r="TY8" s="395"/>
      <c r="TZ8" s="395"/>
      <c r="UA8" s="395"/>
      <c r="UB8" s="395"/>
      <c r="UC8" s="395"/>
      <c r="UD8" s="395"/>
      <c r="UE8" s="395"/>
      <c r="UF8" s="395"/>
      <c r="UG8" s="395"/>
      <c r="UH8" s="395"/>
      <c r="UI8" s="395"/>
      <c r="UJ8" s="395"/>
      <c r="UK8" s="395"/>
      <c r="UL8" s="395"/>
      <c r="UM8" s="395"/>
      <c r="UN8" s="395"/>
      <c r="UO8" s="395"/>
    </row>
    <row r="9" spans="1:561" s="289" customFormat="1" ht="15" customHeight="1" x14ac:dyDescent="0.2">
      <c r="A9" s="580" t="s">
        <v>3</v>
      </c>
      <c r="B9" s="482">
        <f>طابوق!K11+بلوك!I11+حجر!G12+رمل!G12+حصى!G13+سمنت!I11+جص!G12+كاشي2!G11+حديد!F11+ابواب!K11+شبابيك!I11+ت.كهربائيه2!G11+ت.صحيه3!H11+'الكلفه الكليه'!I11</f>
        <v>21918399</v>
      </c>
      <c r="C9" s="482">
        <v>81250285</v>
      </c>
      <c r="D9" s="482">
        <f t="shared" si="0"/>
        <v>103168684</v>
      </c>
      <c r="E9" s="583" t="s">
        <v>15</v>
      </c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  <c r="BB9" s="395"/>
      <c r="BC9" s="395"/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5"/>
      <c r="BX9" s="395"/>
      <c r="BY9" s="395"/>
      <c r="BZ9" s="395"/>
      <c r="CA9" s="395"/>
      <c r="CB9" s="395"/>
      <c r="CC9" s="395"/>
      <c r="CD9" s="395"/>
      <c r="CE9" s="395"/>
      <c r="CF9" s="395"/>
      <c r="CG9" s="395"/>
      <c r="CH9" s="395"/>
      <c r="CI9" s="395"/>
      <c r="CJ9" s="395"/>
      <c r="CK9" s="395"/>
      <c r="CL9" s="395"/>
      <c r="CM9" s="395"/>
      <c r="CN9" s="395"/>
      <c r="CO9" s="395"/>
      <c r="CP9" s="395"/>
      <c r="CQ9" s="395"/>
      <c r="CR9" s="395"/>
      <c r="CS9" s="395"/>
      <c r="CT9" s="395"/>
      <c r="CU9" s="395"/>
      <c r="CV9" s="395"/>
      <c r="CW9" s="395"/>
      <c r="CX9" s="395"/>
      <c r="CY9" s="395"/>
      <c r="CZ9" s="395"/>
      <c r="DA9" s="395"/>
      <c r="DB9" s="395"/>
      <c r="DC9" s="395"/>
      <c r="DD9" s="395"/>
      <c r="DE9" s="395"/>
      <c r="DF9" s="395"/>
      <c r="DG9" s="395"/>
      <c r="DH9" s="395"/>
      <c r="DI9" s="395"/>
      <c r="DJ9" s="395"/>
      <c r="DK9" s="395"/>
      <c r="DL9" s="395"/>
      <c r="DM9" s="395"/>
      <c r="DN9" s="395"/>
      <c r="DO9" s="395"/>
      <c r="DP9" s="395"/>
      <c r="DQ9" s="395"/>
      <c r="DR9" s="395"/>
      <c r="DS9" s="395"/>
      <c r="DT9" s="395"/>
      <c r="DU9" s="395"/>
      <c r="DV9" s="395"/>
      <c r="DW9" s="395"/>
      <c r="DX9" s="395"/>
      <c r="DY9" s="395"/>
      <c r="DZ9" s="395"/>
      <c r="EA9" s="395"/>
      <c r="EB9" s="395"/>
      <c r="EC9" s="395"/>
      <c r="ED9" s="395"/>
      <c r="EE9" s="395"/>
      <c r="EF9" s="395"/>
      <c r="EG9" s="395"/>
      <c r="EH9" s="395"/>
      <c r="EI9" s="395"/>
      <c r="EJ9" s="395"/>
      <c r="EK9" s="395"/>
      <c r="EL9" s="395"/>
      <c r="EM9" s="395"/>
      <c r="EN9" s="395"/>
      <c r="EO9" s="395"/>
      <c r="EP9" s="395"/>
      <c r="EQ9" s="395"/>
      <c r="ER9" s="395"/>
      <c r="ES9" s="395"/>
      <c r="ET9" s="395"/>
      <c r="EU9" s="395"/>
      <c r="EV9" s="395"/>
      <c r="EW9" s="395"/>
      <c r="EX9" s="395"/>
      <c r="EY9" s="395"/>
      <c r="EZ9" s="395"/>
      <c r="FA9" s="395"/>
      <c r="FB9" s="395"/>
      <c r="FC9" s="395"/>
      <c r="FD9" s="395"/>
      <c r="FE9" s="395"/>
      <c r="FF9" s="395"/>
      <c r="FG9" s="395"/>
      <c r="FH9" s="395"/>
      <c r="FI9" s="395"/>
      <c r="FJ9" s="395"/>
      <c r="FK9" s="395"/>
      <c r="FL9" s="395"/>
      <c r="FM9" s="395"/>
      <c r="FN9" s="395"/>
      <c r="FO9" s="395"/>
      <c r="FP9" s="395"/>
      <c r="FQ9" s="395"/>
      <c r="FR9" s="395"/>
      <c r="FS9" s="395"/>
      <c r="FT9" s="395"/>
      <c r="FU9" s="395"/>
      <c r="FV9" s="395"/>
      <c r="FW9" s="395"/>
      <c r="FX9" s="395"/>
      <c r="FY9" s="395"/>
      <c r="FZ9" s="395"/>
      <c r="GA9" s="395"/>
      <c r="GB9" s="395"/>
      <c r="GC9" s="395"/>
      <c r="GD9" s="395"/>
      <c r="GE9" s="395"/>
      <c r="GF9" s="395"/>
      <c r="GG9" s="395"/>
      <c r="GH9" s="395"/>
      <c r="GI9" s="395"/>
      <c r="GJ9" s="395"/>
      <c r="GK9" s="395"/>
      <c r="GL9" s="395"/>
      <c r="GM9" s="395"/>
      <c r="GN9" s="395"/>
      <c r="GO9" s="395"/>
      <c r="GP9" s="395"/>
      <c r="GQ9" s="395"/>
      <c r="GR9" s="395"/>
      <c r="GS9" s="395"/>
      <c r="GT9" s="395"/>
      <c r="GU9" s="395"/>
      <c r="GV9" s="395"/>
      <c r="GW9" s="395"/>
      <c r="GX9" s="395"/>
      <c r="GY9" s="395"/>
      <c r="GZ9" s="395"/>
      <c r="HA9" s="395"/>
      <c r="HB9" s="395"/>
      <c r="HC9" s="395"/>
      <c r="HD9" s="395"/>
      <c r="HE9" s="395"/>
      <c r="HF9" s="395"/>
      <c r="HG9" s="395"/>
      <c r="HH9" s="395"/>
      <c r="HI9" s="395"/>
      <c r="HJ9" s="395"/>
      <c r="HK9" s="395"/>
      <c r="HL9" s="395"/>
      <c r="HM9" s="395"/>
      <c r="HN9" s="395"/>
      <c r="HO9" s="395"/>
      <c r="HP9" s="395"/>
      <c r="HQ9" s="395"/>
      <c r="HR9" s="395"/>
      <c r="HS9" s="395"/>
      <c r="HT9" s="395"/>
      <c r="HU9" s="395"/>
      <c r="HV9" s="395"/>
      <c r="HW9" s="395"/>
      <c r="HX9" s="395"/>
      <c r="HY9" s="395"/>
      <c r="HZ9" s="395"/>
      <c r="IA9" s="395"/>
      <c r="IB9" s="395"/>
      <c r="IC9" s="395"/>
      <c r="ID9" s="395"/>
      <c r="IE9" s="395"/>
      <c r="IF9" s="395"/>
      <c r="IG9" s="395"/>
      <c r="IH9" s="395"/>
      <c r="II9" s="395"/>
      <c r="IJ9" s="395"/>
      <c r="IK9" s="395"/>
      <c r="IL9" s="395"/>
      <c r="IM9" s="395"/>
      <c r="IN9" s="395"/>
      <c r="IO9" s="395"/>
      <c r="IP9" s="395"/>
      <c r="IQ9" s="395"/>
      <c r="IR9" s="395"/>
      <c r="IS9" s="395"/>
      <c r="IT9" s="395"/>
      <c r="IU9" s="395"/>
      <c r="IV9" s="395"/>
      <c r="IW9" s="395"/>
      <c r="IX9" s="395"/>
      <c r="IY9" s="395"/>
      <c r="IZ9" s="395"/>
      <c r="JA9" s="395"/>
      <c r="JB9" s="395"/>
      <c r="JC9" s="395"/>
      <c r="JD9" s="395"/>
      <c r="JE9" s="395"/>
      <c r="JF9" s="395"/>
      <c r="JG9" s="395"/>
      <c r="JH9" s="395"/>
      <c r="JI9" s="395"/>
      <c r="JJ9" s="395"/>
      <c r="JK9" s="395"/>
      <c r="JL9" s="395"/>
      <c r="JM9" s="395"/>
      <c r="JN9" s="395"/>
      <c r="JO9" s="395"/>
      <c r="JP9" s="395"/>
      <c r="JQ9" s="395"/>
      <c r="JR9" s="395"/>
      <c r="JS9" s="395"/>
      <c r="JT9" s="395"/>
      <c r="JU9" s="395"/>
      <c r="JV9" s="395"/>
      <c r="JW9" s="395"/>
      <c r="JX9" s="395"/>
      <c r="JY9" s="395"/>
      <c r="JZ9" s="395"/>
      <c r="KA9" s="395"/>
      <c r="KB9" s="395"/>
      <c r="KC9" s="395"/>
      <c r="KD9" s="395"/>
      <c r="KE9" s="395"/>
      <c r="KF9" s="395"/>
      <c r="KG9" s="395"/>
      <c r="KH9" s="395"/>
      <c r="KI9" s="395"/>
      <c r="KJ9" s="395"/>
      <c r="KK9" s="395"/>
      <c r="KL9" s="395"/>
      <c r="KM9" s="395"/>
      <c r="KN9" s="395"/>
      <c r="KO9" s="395"/>
      <c r="KP9" s="395"/>
      <c r="KQ9" s="395"/>
      <c r="KR9" s="395"/>
      <c r="KS9" s="395"/>
      <c r="KT9" s="395"/>
      <c r="KU9" s="395"/>
      <c r="KV9" s="395"/>
      <c r="KW9" s="395"/>
      <c r="KX9" s="395"/>
      <c r="KY9" s="395"/>
      <c r="KZ9" s="395"/>
      <c r="LA9" s="395"/>
      <c r="LB9" s="395"/>
      <c r="LC9" s="395"/>
      <c r="LD9" s="395"/>
      <c r="LE9" s="395"/>
      <c r="LF9" s="395"/>
      <c r="LG9" s="395"/>
      <c r="LH9" s="395"/>
      <c r="LI9" s="395"/>
      <c r="LJ9" s="395"/>
      <c r="LK9" s="395"/>
      <c r="LL9" s="395"/>
      <c r="LM9" s="395"/>
      <c r="LN9" s="395"/>
      <c r="LO9" s="395"/>
      <c r="LP9" s="395"/>
      <c r="LQ9" s="395"/>
      <c r="LR9" s="395"/>
      <c r="LS9" s="395"/>
      <c r="LT9" s="395"/>
      <c r="LU9" s="395"/>
      <c r="LV9" s="395"/>
      <c r="LW9" s="395"/>
      <c r="LX9" s="395"/>
      <c r="LY9" s="395"/>
      <c r="LZ9" s="395"/>
      <c r="MA9" s="395"/>
      <c r="MB9" s="395"/>
      <c r="MC9" s="395"/>
      <c r="MD9" s="395"/>
      <c r="ME9" s="395"/>
      <c r="MF9" s="395"/>
      <c r="MG9" s="395"/>
      <c r="MH9" s="395"/>
      <c r="MI9" s="395"/>
      <c r="MJ9" s="395"/>
      <c r="MK9" s="395"/>
      <c r="ML9" s="395"/>
      <c r="MM9" s="395"/>
      <c r="MN9" s="395"/>
      <c r="MO9" s="395"/>
      <c r="MP9" s="395"/>
      <c r="MQ9" s="395"/>
      <c r="MR9" s="395"/>
      <c r="MS9" s="395"/>
      <c r="MT9" s="395"/>
      <c r="MU9" s="395"/>
      <c r="MV9" s="395"/>
      <c r="MW9" s="395"/>
      <c r="MX9" s="395"/>
      <c r="MY9" s="395"/>
      <c r="MZ9" s="395"/>
      <c r="NA9" s="395"/>
      <c r="NB9" s="395"/>
      <c r="NC9" s="395"/>
      <c r="ND9" s="395"/>
      <c r="NE9" s="395"/>
      <c r="NF9" s="395"/>
      <c r="NG9" s="395"/>
      <c r="NH9" s="395"/>
      <c r="NI9" s="395"/>
      <c r="NJ9" s="395"/>
      <c r="NK9" s="395"/>
      <c r="NL9" s="395"/>
      <c r="NM9" s="395"/>
      <c r="NN9" s="395"/>
      <c r="NO9" s="395"/>
      <c r="NP9" s="395"/>
      <c r="NQ9" s="395"/>
      <c r="NR9" s="395"/>
      <c r="NS9" s="395"/>
      <c r="NT9" s="395"/>
      <c r="NU9" s="395"/>
      <c r="NV9" s="395"/>
      <c r="NW9" s="395"/>
      <c r="NX9" s="395"/>
      <c r="NY9" s="395"/>
      <c r="NZ9" s="395"/>
      <c r="OA9" s="395"/>
      <c r="OB9" s="395"/>
      <c r="OC9" s="395"/>
      <c r="OD9" s="395"/>
      <c r="OE9" s="395"/>
      <c r="OF9" s="395"/>
      <c r="OG9" s="395"/>
      <c r="OH9" s="395"/>
      <c r="OI9" s="395"/>
      <c r="OJ9" s="395"/>
      <c r="OK9" s="395"/>
      <c r="OL9" s="395"/>
      <c r="OM9" s="395"/>
      <c r="ON9" s="395"/>
      <c r="OO9" s="395"/>
      <c r="OP9" s="395"/>
      <c r="OQ9" s="395"/>
      <c r="OR9" s="395"/>
      <c r="OS9" s="395"/>
      <c r="OT9" s="395"/>
      <c r="OU9" s="395"/>
      <c r="OV9" s="395"/>
      <c r="OW9" s="395"/>
      <c r="OX9" s="395"/>
      <c r="OY9" s="395"/>
      <c r="OZ9" s="395"/>
      <c r="PA9" s="395"/>
      <c r="PB9" s="395"/>
      <c r="PC9" s="395"/>
      <c r="PD9" s="395"/>
      <c r="PE9" s="395"/>
      <c r="PF9" s="395"/>
      <c r="PG9" s="395"/>
      <c r="PH9" s="395"/>
      <c r="PI9" s="395"/>
      <c r="PJ9" s="395"/>
      <c r="PK9" s="395"/>
      <c r="PL9" s="395"/>
      <c r="PM9" s="395"/>
      <c r="PN9" s="395"/>
      <c r="PO9" s="395"/>
      <c r="PP9" s="395"/>
      <c r="PQ9" s="395"/>
      <c r="PR9" s="395"/>
      <c r="PS9" s="395"/>
      <c r="PT9" s="395"/>
      <c r="PU9" s="395"/>
      <c r="PV9" s="395"/>
      <c r="PW9" s="395"/>
      <c r="PX9" s="395"/>
      <c r="PY9" s="395"/>
      <c r="PZ9" s="395"/>
      <c r="QA9" s="395"/>
      <c r="QB9" s="395"/>
      <c r="QC9" s="395"/>
      <c r="QD9" s="395"/>
      <c r="QE9" s="395"/>
      <c r="QF9" s="395"/>
      <c r="QG9" s="395"/>
      <c r="QH9" s="395"/>
      <c r="QI9" s="395"/>
      <c r="QJ9" s="395"/>
      <c r="QK9" s="395"/>
      <c r="QL9" s="395"/>
      <c r="QM9" s="395"/>
      <c r="QN9" s="395"/>
      <c r="QO9" s="395"/>
      <c r="QP9" s="395"/>
      <c r="QQ9" s="395"/>
      <c r="QR9" s="395"/>
      <c r="QS9" s="395"/>
      <c r="QT9" s="395"/>
      <c r="QU9" s="395"/>
      <c r="QV9" s="395"/>
      <c r="QW9" s="395"/>
      <c r="QX9" s="395"/>
      <c r="QY9" s="395"/>
      <c r="QZ9" s="395"/>
      <c r="RA9" s="395"/>
      <c r="RB9" s="395"/>
      <c r="RC9" s="395"/>
      <c r="RD9" s="395"/>
      <c r="RE9" s="395"/>
      <c r="RF9" s="395"/>
      <c r="RG9" s="395"/>
      <c r="RH9" s="395"/>
      <c r="RI9" s="395"/>
      <c r="RJ9" s="395"/>
      <c r="RK9" s="395"/>
      <c r="RL9" s="395"/>
      <c r="RM9" s="395"/>
      <c r="RN9" s="395"/>
      <c r="RO9" s="395"/>
      <c r="RP9" s="395"/>
      <c r="RQ9" s="395"/>
      <c r="RR9" s="395"/>
      <c r="RS9" s="395"/>
      <c r="RT9" s="395"/>
      <c r="RU9" s="395"/>
      <c r="RV9" s="395"/>
      <c r="RW9" s="395"/>
      <c r="RX9" s="395"/>
      <c r="RY9" s="395"/>
      <c r="RZ9" s="395"/>
      <c r="SA9" s="395"/>
      <c r="SB9" s="395"/>
      <c r="SC9" s="395"/>
      <c r="SD9" s="395"/>
      <c r="SE9" s="395"/>
      <c r="SF9" s="395"/>
      <c r="SG9" s="395"/>
      <c r="SH9" s="395"/>
      <c r="SI9" s="395"/>
      <c r="SJ9" s="395"/>
      <c r="SK9" s="395"/>
      <c r="SL9" s="395"/>
      <c r="SM9" s="395"/>
      <c r="SN9" s="395"/>
      <c r="SO9" s="395"/>
      <c r="SP9" s="395"/>
      <c r="SQ9" s="395"/>
      <c r="SR9" s="395"/>
      <c r="SS9" s="395"/>
      <c r="ST9" s="395"/>
      <c r="SU9" s="395"/>
      <c r="SV9" s="395"/>
      <c r="SW9" s="395"/>
      <c r="SX9" s="395"/>
      <c r="SY9" s="395"/>
      <c r="SZ9" s="395"/>
      <c r="TA9" s="395"/>
      <c r="TB9" s="395"/>
      <c r="TC9" s="395"/>
      <c r="TD9" s="395"/>
      <c r="TE9" s="395"/>
      <c r="TF9" s="395"/>
      <c r="TG9" s="395"/>
      <c r="TH9" s="395"/>
      <c r="TI9" s="395"/>
      <c r="TJ9" s="395"/>
      <c r="TK9" s="395"/>
      <c r="TL9" s="395"/>
      <c r="TM9" s="395"/>
      <c r="TN9" s="395"/>
      <c r="TO9" s="395"/>
      <c r="TP9" s="395"/>
      <c r="TQ9" s="395"/>
      <c r="TR9" s="395"/>
      <c r="TS9" s="395"/>
      <c r="TT9" s="395"/>
      <c r="TU9" s="395"/>
      <c r="TV9" s="395"/>
      <c r="TW9" s="395"/>
      <c r="TX9" s="395"/>
      <c r="TY9" s="395"/>
      <c r="TZ9" s="395"/>
      <c r="UA9" s="395"/>
      <c r="UB9" s="395"/>
      <c r="UC9" s="395"/>
      <c r="UD9" s="395"/>
      <c r="UE9" s="395"/>
      <c r="UF9" s="395"/>
      <c r="UG9" s="395"/>
      <c r="UH9" s="395"/>
      <c r="UI9" s="395"/>
      <c r="UJ9" s="395"/>
      <c r="UK9" s="395"/>
      <c r="UL9" s="395"/>
      <c r="UM9" s="395"/>
      <c r="UN9" s="395"/>
      <c r="UO9" s="395"/>
    </row>
    <row r="10" spans="1:561" s="289" customFormat="1" ht="15" customHeight="1" x14ac:dyDescent="0.2">
      <c r="A10" s="870" t="s">
        <v>342</v>
      </c>
      <c r="B10" s="79">
        <f>طابوق!K12+بلوك!I12+حجر!G13+رمل!G13+حصى!G14+سمنت!I12+جص!G13+كاشي2!G12+حديد!F12+ابواب!K12+شبابيك!I12+ت.كهربائيه2!G12+ت.صحيه3!H12+'الكلفه الكليه'!I12</f>
        <v>8791267</v>
      </c>
      <c r="C10" s="79">
        <v>5856317</v>
      </c>
      <c r="D10" s="79">
        <f t="shared" si="0"/>
        <v>14647584</v>
      </c>
      <c r="E10" s="9" t="s">
        <v>337</v>
      </c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  <c r="IX10" s="395"/>
      <c r="IY10" s="395"/>
      <c r="IZ10" s="395"/>
      <c r="JA10" s="395"/>
      <c r="JB10" s="395"/>
      <c r="JC10" s="395"/>
      <c r="JD10" s="395"/>
      <c r="JE10" s="395"/>
      <c r="JF10" s="395"/>
      <c r="JG10" s="395"/>
      <c r="JH10" s="395"/>
      <c r="JI10" s="395"/>
      <c r="JJ10" s="395"/>
      <c r="JK10" s="395"/>
      <c r="JL10" s="395"/>
      <c r="JM10" s="395"/>
      <c r="JN10" s="395"/>
      <c r="JO10" s="395"/>
      <c r="JP10" s="395"/>
      <c r="JQ10" s="395"/>
      <c r="JR10" s="395"/>
      <c r="JS10" s="395"/>
      <c r="JT10" s="395"/>
      <c r="JU10" s="395"/>
      <c r="JV10" s="395"/>
      <c r="JW10" s="395"/>
      <c r="JX10" s="395"/>
      <c r="JY10" s="395"/>
      <c r="JZ10" s="395"/>
      <c r="KA10" s="395"/>
      <c r="KB10" s="395"/>
      <c r="KC10" s="395"/>
      <c r="KD10" s="395"/>
      <c r="KE10" s="395"/>
      <c r="KF10" s="395"/>
      <c r="KG10" s="395"/>
      <c r="KH10" s="395"/>
      <c r="KI10" s="395"/>
      <c r="KJ10" s="395"/>
      <c r="KK10" s="395"/>
      <c r="KL10" s="395"/>
      <c r="KM10" s="395"/>
      <c r="KN10" s="395"/>
      <c r="KO10" s="395"/>
      <c r="KP10" s="395"/>
      <c r="KQ10" s="395"/>
      <c r="KR10" s="395"/>
      <c r="KS10" s="395"/>
      <c r="KT10" s="395"/>
      <c r="KU10" s="395"/>
      <c r="KV10" s="395"/>
      <c r="KW10" s="395"/>
      <c r="KX10" s="395"/>
      <c r="KY10" s="395"/>
      <c r="KZ10" s="395"/>
      <c r="LA10" s="395"/>
      <c r="LB10" s="395"/>
      <c r="LC10" s="395"/>
      <c r="LD10" s="395"/>
      <c r="LE10" s="395"/>
      <c r="LF10" s="395"/>
      <c r="LG10" s="395"/>
      <c r="LH10" s="395"/>
      <c r="LI10" s="395"/>
      <c r="LJ10" s="395"/>
      <c r="LK10" s="395"/>
      <c r="LL10" s="395"/>
      <c r="LM10" s="395"/>
      <c r="LN10" s="395"/>
      <c r="LO10" s="395"/>
      <c r="LP10" s="395"/>
      <c r="LQ10" s="395"/>
      <c r="LR10" s="395"/>
      <c r="LS10" s="395"/>
      <c r="LT10" s="395"/>
      <c r="LU10" s="395"/>
      <c r="LV10" s="395"/>
      <c r="LW10" s="395"/>
      <c r="LX10" s="395"/>
      <c r="LY10" s="395"/>
      <c r="LZ10" s="395"/>
      <c r="MA10" s="395"/>
      <c r="MB10" s="395"/>
      <c r="MC10" s="395"/>
      <c r="MD10" s="395"/>
      <c r="ME10" s="395"/>
      <c r="MF10" s="395"/>
      <c r="MG10" s="395"/>
      <c r="MH10" s="395"/>
      <c r="MI10" s="395"/>
      <c r="MJ10" s="395"/>
      <c r="MK10" s="395"/>
      <c r="ML10" s="395"/>
      <c r="MM10" s="395"/>
      <c r="MN10" s="395"/>
      <c r="MO10" s="395"/>
      <c r="MP10" s="395"/>
      <c r="MQ10" s="395"/>
      <c r="MR10" s="395"/>
      <c r="MS10" s="395"/>
      <c r="MT10" s="395"/>
      <c r="MU10" s="395"/>
      <c r="MV10" s="395"/>
      <c r="MW10" s="395"/>
      <c r="MX10" s="395"/>
      <c r="MY10" s="395"/>
      <c r="MZ10" s="395"/>
      <c r="NA10" s="395"/>
      <c r="NB10" s="395"/>
      <c r="NC10" s="395"/>
      <c r="ND10" s="395"/>
      <c r="NE10" s="395"/>
      <c r="NF10" s="395"/>
      <c r="NG10" s="395"/>
      <c r="NH10" s="395"/>
      <c r="NI10" s="395"/>
      <c r="NJ10" s="395"/>
      <c r="NK10" s="395"/>
      <c r="NL10" s="395"/>
      <c r="NM10" s="395"/>
      <c r="NN10" s="395"/>
      <c r="NO10" s="395"/>
      <c r="NP10" s="395"/>
      <c r="NQ10" s="395"/>
      <c r="NR10" s="395"/>
      <c r="NS10" s="395"/>
      <c r="NT10" s="395"/>
      <c r="NU10" s="395"/>
      <c r="NV10" s="395"/>
      <c r="NW10" s="395"/>
      <c r="NX10" s="395"/>
      <c r="NY10" s="395"/>
      <c r="NZ10" s="395"/>
      <c r="OA10" s="395"/>
      <c r="OB10" s="395"/>
      <c r="OC10" s="395"/>
      <c r="OD10" s="395"/>
      <c r="OE10" s="395"/>
      <c r="OF10" s="395"/>
      <c r="OG10" s="395"/>
      <c r="OH10" s="395"/>
      <c r="OI10" s="395"/>
      <c r="OJ10" s="395"/>
      <c r="OK10" s="395"/>
      <c r="OL10" s="395"/>
      <c r="OM10" s="395"/>
      <c r="ON10" s="395"/>
      <c r="OO10" s="395"/>
      <c r="OP10" s="395"/>
      <c r="OQ10" s="395"/>
      <c r="OR10" s="395"/>
      <c r="OS10" s="395"/>
      <c r="OT10" s="395"/>
      <c r="OU10" s="395"/>
      <c r="OV10" s="395"/>
      <c r="OW10" s="395"/>
      <c r="OX10" s="395"/>
      <c r="OY10" s="395"/>
      <c r="OZ10" s="395"/>
      <c r="PA10" s="395"/>
      <c r="PB10" s="395"/>
      <c r="PC10" s="395"/>
      <c r="PD10" s="395"/>
      <c r="PE10" s="395"/>
      <c r="PF10" s="395"/>
      <c r="PG10" s="395"/>
      <c r="PH10" s="395"/>
      <c r="PI10" s="395"/>
      <c r="PJ10" s="395"/>
      <c r="PK10" s="395"/>
      <c r="PL10" s="395"/>
      <c r="PM10" s="395"/>
      <c r="PN10" s="395"/>
      <c r="PO10" s="395"/>
      <c r="PP10" s="395"/>
      <c r="PQ10" s="395"/>
      <c r="PR10" s="395"/>
      <c r="PS10" s="395"/>
      <c r="PT10" s="395"/>
      <c r="PU10" s="395"/>
      <c r="PV10" s="395"/>
      <c r="PW10" s="395"/>
      <c r="PX10" s="395"/>
      <c r="PY10" s="395"/>
      <c r="PZ10" s="395"/>
      <c r="QA10" s="395"/>
      <c r="QB10" s="395"/>
      <c r="QC10" s="395"/>
      <c r="QD10" s="395"/>
      <c r="QE10" s="395"/>
      <c r="QF10" s="395"/>
      <c r="QG10" s="395"/>
      <c r="QH10" s="395"/>
      <c r="QI10" s="395"/>
      <c r="QJ10" s="395"/>
      <c r="QK10" s="395"/>
      <c r="QL10" s="395"/>
      <c r="QM10" s="395"/>
      <c r="QN10" s="395"/>
      <c r="QO10" s="395"/>
      <c r="QP10" s="395"/>
      <c r="QQ10" s="395"/>
      <c r="QR10" s="395"/>
      <c r="QS10" s="395"/>
      <c r="QT10" s="395"/>
      <c r="QU10" s="395"/>
      <c r="QV10" s="395"/>
      <c r="QW10" s="395"/>
      <c r="QX10" s="395"/>
      <c r="QY10" s="395"/>
      <c r="QZ10" s="395"/>
      <c r="RA10" s="395"/>
      <c r="RB10" s="395"/>
      <c r="RC10" s="395"/>
      <c r="RD10" s="395"/>
      <c r="RE10" s="395"/>
      <c r="RF10" s="395"/>
      <c r="RG10" s="395"/>
      <c r="RH10" s="395"/>
      <c r="RI10" s="395"/>
      <c r="RJ10" s="395"/>
      <c r="RK10" s="395"/>
      <c r="RL10" s="395"/>
      <c r="RM10" s="395"/>
      <c r="RN10" s="395"/>
      <c r="RO10" s="395"/>
      <c r="RP10" s="395"/>
      <c r="RQ10" s="395"/>
      <c r="RR10" s="395"/>
      <c r="RS10" s="395"/>
      <c r="RT10" s="395"/>
      <c r="RU10" s="395"/>
      <c r="RV10" s="395"/>
      <c r="RW10" s="395"/>
      <c r="RX10" s="395"/>
      <c r="RY10" s="395"/>
      <c r="RZ10" s="395"/>
      <c r="SA10" s="395"/>
      <c r="SB10" s="395"/>
      <c r="SC10" s="395"/>
      <c r="SD10" s="395"/>
      <c r="SE10" s="395"/>
      <c r="SF10" s="395"/>
      <c r="SG10" s="395"/>
      <c r="SH10" s="395"/>
      <c r="SI10" s="395"/>
      <c r="SJ10" s="395"/>
      <c r="SK10" s="395"/>
      <c r="SL10" s="395"/>
      <c r="SM10" s="395"/>
      <c r="SN10" s="395"/>
      <c r="SO10" s="395"/>
      <c r="SP10" s="395"/>
      <c r="SQ10" s="395"/>
      <c r="SR10" s="395"/>
      <c r="SS10" s="395"/>
      <c r="ST10" s="395"/>
      <c r="SU10" s="395"/>
      <c r="SV10" s="395"/>
      <c r="SW10" s="395"/>
      <c r="SX10" s="395"/>
      <c r="SY10" s="395"/>
      <c r="SZ10" s="395"/>
      <c r="TA10" s="395"/>
      <c r="TB10" s="395"/>
      <c r="TC10" s="395"/>
      <c r="TD10" s="395"/>
      <c r="TE10" s="395"/>
      <c r="TF10" s="395"/>
      <c r="TG10" s="395"/>
      <c r="TH10" s="395"/>
      <c r="TI10" s="395"/>
      <c r="TJ10" s="395"/>
      <c r="TK10" s="395"/>
      <c r="TL10" s="395"/>
      <c r="TM10" s="395"/>
      <c r="TN10" s="395"/>
      <c r="TO10" s="395"/>
      <c r="TP10" s="395"/>
      <c r="TQ10" s="395"/>
      <c r="TR10" s="395"/>
      <c r="TS10" s="395"/>
      <c r="TT10" s="395"/>
      <c r="TU10" s="395"/>
      <c r="TV10" s="395"/>
      <c r="TW10" s="395"/>
      <c r="TX10" s="395"/>
      <c r="TY10" s="395"/>
      <c r="TZ10" s="395"/>
      <c r="UA10" s="395"/>
      <c r="UB10" s="395"/>
      <c r="UC10" s="395"/>
      <c r="UD10" s="395"/>
      <c r="UE10" s="395"/>
      <c r="UF10" s="395"/>
      <c r="UG10" s="395"/>
      <c r="UH10" s="395"/>
      <c r="UI10" s="395"/>
      <c r="UJ10" s="395"/>
      <c r="UK10" s="395"/>
      <c r="UL10" s="395"/>
      <c r="UM10" s="395"/>
      <c r="UN10" s="395"/>
      <c r="UO10" s="395"/>
    </row>
    <row r="11" spans="1:561" s="289" customFormat="1" ht="15" customHeight="1" x14ac:dyDescent="0.2">
      <c r="A11" s="742" t="s">
        <v>4</v>
      </c>
      <c r="B11" s="482">
        <f>طابوق!K13+بلوك!I13+حجر!G14+رمل!G14+حصى!G15+سمنت!I13+جص!G14+كاشي2!G13+حديد!F13+ابواب!K13+شبابيك!I13+ت.كهربائيه2!G13+ت.صحيه3!H13+'الكلفه الكليه'!I13</f>
        <v>141386581</v>
      </c>
      <c r="C11" s="482">
        <v>316437060</v>
      </c>
      <c r="D11" s="482">
        <f t="shared" si="0"/>
        <v>457823641</v>
      </c>
      <c r="E11" s="743" t="s">
        <v>16</v>
      </c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  <c r="IX11" s="395"/>
      <c r="IY11" s="395"/>
      <c r="IZ11" s="395"/>
      <c r="JA11" s="395"/>
      <c r="JB11" s="395"/>
      <c r="JC11" s="395"/>
      <c r="JD11" s="395"/>
      <c r="JE11" s="395"/>
      <c r="JF11" s="395"/>
      <c r="JG11" s="395"/>
      <c r="JH11" s="395"/>
      <c r="JI11" s="395"/>
      <c r="JJ11" s="395"/>
      <c r="JK11" s="395"/>
      <c r="JL11" s="395"/>
      <c r="JM11" s="395"/>
      <c r="JN11" s="395"/>
      <c r="JO11" s="395"/>
      <c r="JP11" s="395"/>
      <c r="JQ11" s="395"/>
      <c r="JR11" s="395"/>
      <c r="JS11" s="395"/>
      <c r="JT11" s="395"/>
      <c r="JU11" s="395"/>
      <c r="JV11" s="395"/>
      <c r="JW11" s="395"/>
      <c r="JX11" s="395"/>
      <c r="JY11" s="395"/>
      <c r="JZ11" s="395"/>
      <c r="KA11" s="395"/>
      <c r="KB11" s="395"/>
      <c r="KC11" s="395"/>
      <c r="KD11" s="395"/>
      <c r="KE11" s="395"/>
      <c r="KF11" s="395"/>
      <c r="KG11" s="395"/>
      <c r="KH11" s="395"/>
      <c r="KI11" s="395"/>
      <c r="KJ11" s="395"/>
      <c r="KK11" s="395"/>
      <c r="KL11" s="395"/>
      <c r="KM11" s="395"/>
      <c r="KN11" s="395"/>
      <c r="KO11" s="395"/>
      <c r="KP11" s="395"/>
      <c r="KQ11" s="395"/>
      <c r="KR11" s="395"/>
      <c r="KS11" s="395"/>
      <c r="KT11" s="395"/>
      <c r="KU11" s="395"/>
      <c r="KV11" s="395"/>
      <c r="KW11" s="395"/>
      <c r="KX11" s="395"/>
      <c r="KY11" s="395"/>
      <c r="KZ11" s="395"/>
      <c r="LA11" s="395"/>
      <c r="LB11" s="395"/>
      <c r="LC11" s="395"/>
      <c r="LD11" s="395"/>
      <c r="LE11" s="395"/>
      <c r="LF11" s="395"/>
      <c r="LG11" s="395"/>
      <c r="LH11" s="395"/>
      <c r="LI11" s="395"/>
      <c r="LJ11" s="395"/>
      <c r="LK11" s="395"/>
      <c r="LL11" s="395"/>
      <c r="LM11" s="395"/>
      <c r="LN11" s="395"/>
      <c r="LO11" s="395"/>
      <c r="LP11" s="395"/>
      <c r="LQ11" s="395"/>
      <c r="LR11" s="395"/>
      <c r="LS11" s="395"/>
      <c r="LT11" s="395"/>
      <c r="LU11" s="395"/>
      <c r="LV11" s="395"/>
      <c r="LW11" s="395"/>
      <c r="LX11" s="395"/>
      <c r="LY11" s="395"/>
      <c r="LZ11" s="395"/>
      <c r="MA11" s="395"/>
      <c r="MB11" s="395"/>
      <c r="MC11" s="395"/>
      <c r="MD11" s="395"/>
      <c r="ME11" s="395"/>
      <c r="MF11" s="395"/>
      <c r="MG11" s="395"/>
      <c r="MH11" s="395"/>
      <c r="MI11" s="395"/>
      <c r="MJ11" s="395"/>
      <c r="MK11" s="395"/>
      <c r="ML11" s="395"/>
      <c r="MM11" s="395"/>
      <c r="MN11" s="395"/>
      <c r="MO11" s="395"/>
      <c r="MP11" s="395"/>
      <c r="MQ11" s="395"/>
      <c r="MR11" s="395"/>
      <c r="MS11" s="395"/>
      <c r="MT11" s="395"/>
      <c r="MU11" s="395"/>
      <c r="MV11" s="395"/>
      <c r="MW11" s="395"/>
      <c r="MX11" s="395"/>
      <c r="MY11" s="395"/>
      <c r="MZ11" s="395"/>
      <c r="NA11" s="395"/>
      <c r="NB11" s="395"/>
      <c r="NC11" s="395"/>
      <c r="ND11" s="395"/>
      <c r="NE11" s="395"/>
      <c r="NF11" s="395"/>
      <c r="NG11" s="395"/>
      <c r="NH11" s="395"/>
      <c r="NI11" s="395"/>
      <c r="NJ11" s="395"/>
      <c r="NK11" s="395"/>
      <c r="NL11" s="395"/>
      <c r="NM11" s="395"/>
      <c r="NN11" s="395"/>
      <c r="NO11" s="395"/>
      <c r="NP11" s="395"/>
      <c r="NQ11" s="395"/>
      <c r="NR11" s="395"/>
      <c r="NS11" s="395"/>
      <c r="NT11" s="395"/>
      <c r="NU11" s="395"/>
      <c r="NV11" s="395"/>
      <c r="NW11" s="395"/>
      <c r="NX11" s="395"/>
      <c r="NY11" s="395"/>
      <c r="NZ11" s="395"/>
      <c r="OA11" s="395"/>
      <c r="OB11" s="395"/>
      <c r="OC11" s="395"/>
      <c r="OD11" s="395"/>
      <c r="OE11" s="395"/>
      <c r="OF11" s="395"/>
      <c r="OG11" s="395"/>
      <c r="OH11" s="395"/>
      <c r="OI11" s="395"/>
      <c r="OJ11" s="395"/>
      <c r="OK11" s="395"/>
      <c r="OL11" s="395"/>
      <c r="OM11" s="395"/>
      <c r="ON11" s="395"/>
      <c r="OO11" s="395"/>
      <c r="OP11" s="395"/>
      <c r="OQ11" s="395"/>
      <c r="OR11" s="395"/>
      <c r="OS11" s="395"/>
      <c r="OT11" s="395"/>
      <c r="OU11" s="395"/>
      <c r="OV11" s="395"/>
      <c r="OW11" s="395"/>
      <c r="OX11" s="395"/>
      <c r="OY11" s="395"/>
      <c r="OZ11" s="395"/>
      <c r="PA11" s="395"/>
      <c r="PB11" s="395"/>
      <c r="PC11" s="395"/>
      <c r="PD11" s="395"/>
      <c r="PE11" s="395"/>
      <c r="PF11" s="395"/>
      <c r="PG11" s="395"/>
      <c r="PH11" s="395"/>
      <c r="PI11" s="395"/>
      <c r="PJ11" s="395"/>
      <c r="PK11" s="395"/>
      <c r="PL11" s="395"/>
      <c r="PM11" s="395"/>
      <c r="PN11" s="395"/>
      <c r="PO11" s="395"/>
      <c r="PP11" s="395"/>
      <c r="PQ11" s="395"/>
      <c r="PR11" s="395"/>
      <c r="PS11" s="395"/>
      <c r="PT11" s="395"/>
      <c r="PU11" s="395"/>
      <c r="PV11" s="395"/>
      <c r="PW11" s="395"/>
      <c r="PX11" s="395"/>
      <c r="PY11" s="395"/>
      <c r="PZ11" s="395"/>
      <c r="QA11" s="395"/>
      <c r="QB11" s="395"/>
      <c r="QC11" s="395"/>
      <c r="QD11" s="395"/>
      <c r="QE11" s="395"/>
      <c r="QF11" s="395"/>
      <c r="QG11" s="395"/>
      <c r="QH11" s="395"/>
      <c r="QI11" s="395"/>
      <c r="QJ11" s="395"/>
      <c r="QK11" s="395"/>
      <c r="QL11" s="395"/>
      <c r="QM11" s="395"/>
      <c r="QN11" s="395"/>
      <c r="QO11" s="395"/>
      <c r="QP11" s="395"/>
      <c r="QQ11" s="395"/>
      <c r="QR11" s="395"/>
      <c r="QS11" s="395"/>
      <c r="QT11" s="395"/>
      <c r="QU11" s="395"/>
      <c r="QV11" s="395"/>
      <c r="QW11" s="395"/>
      <c r="QX11" s="395"/>
      <c r="QY11" s="395"/>
      <c r="QZ11" s="395"/>
      <c r="RA11" s="395"/>
      <c r="RB11" s="395"/>
      <c r="RC11" s="395"/>
      <c r="RD11" s="395"/>
      <c r="RE11" s="395"/>
      <c r="RF11" s="395"/>
      <c r="RG11" s="395"/>
      <c r="RH11" s="395"/>
      <c r="RI11" s="395"/>
      <c r="RJ11" s="395"/>
      <c r="RK11" s="395"/>
      <c r="RL11" s="395"/>
      <c r="RM11" s="395"/>
      <c r="RN11" s="395"/>
      <c r="RO11" s="395"/>
      <c r="RP11" s="395"/>
      <c r="RQ11" s="395"/>
      <c r="RR11" s="395"/>
      <c r="RS11" s="395"/>
      <c r="RT11" s="395"/>
      <c r="RU11" s="395"/>
      <c r="RV11" s="395"/>
      <c r="RW11" s="395"/>
      <c r="RX11" s="395"/>
      <c r="RY11" s="395"/>
      <c r="RZ11" s="395"/>
      <c r="SA11" s="395"/>
      <c r="SB11" s="395"/>
      <c r="SC11" s="395"/>
      <c r="SD11" s="395"/>
      <c r="SE11" s="395"/>
      <c r="SF11" s="395"/>
      <c r="SG11" s="395"/>
      <c r="SH11" s="395"/>
      <c r="SI11" s="395"/>
      <c r="SJ11" s="395"/>
      <c r="SK11" s="395"/>
      <c r="SL11" s="395"/>
      <c r="SM11" s="395"/>
      <c r="SN11" s="395"/>
      <c r="SO11" s="395"/>
      <c r="SP11" s="395"/>
      <c r="SQ11" s="395"/>
      <c r="SR11" s="395"/>
      <c r="SS11" s="395"/>
      <c r="ST11" s="395"/>
      <c r="SU11" s="395"/>
      <c r="SV11" s="395"/>
      <c r="SW11" s="395"/>
      <c r="SX11" s="395"/>
      <c r="SY11" s="395"/>
      <c r="SZ11" s="395"/>
      <c r="TA11" s="395"/>
      <c r="TB11" s="395"/>
      <c r="TC11" s="395"/>
      <c r="TD11" s="395"/>
      <c r="TE11" s="395"/>
      <c r="TF11" s="395"/>
      <c r="TG11" s="395"/>
      <c r="TH11" s="395"/>
      <c r="TI11" s="395"/>
      <c r="TJ11" s="395"/>
      <c r="TK11" s="395"/>
      <c r="TL11" s="395"/>
      <c r="TM11" s="395"/>
      <c r="TN11" s="395"/>
      <c r="TO11" s="395"/>
      <c r="TP11" s="395"/>
      <c r="TQ11" s="395"/>
      <c r="TR11" s="395"/>
      <c r="TS11" s="395"/>
      <c r="TT11" s="395"/>
      <c r="TU11" s="395"/>
      <c r="TV11" s="395"/>
      <c r="TW11" s="395"/>
      <c r="TX11" s="395"/>
      <c r="TY11" s="395"/>
      <c r="TZ11" s="395"/>
      <c r="UA11" s="395"/>
      <c r="UB11" s="395"/>
      <c r="UC11" s="395"/>
      <c r="UD11" s="395"/>
      <c r="UE11" s="395"/>
      <c r="UF11" s="395"/>
      <c r="UG11" s="395"/>
      <c r="UH11" s="395"/>
      <c r="UI11" s="395"/>
      <c r="UJ11" s="395"/>
      <c r="UK11" s="395"/>
      <c r="UL11" s="395"/>
      <c r="UM11" s="395"/>
      <c r="UN11" s="395"/>
      <c r="UO11" s="395"/>
    </row>
    <row r="12" spans="1:561" s="289" customFormat="1" ht="15" customHeight="1" x14ac:dyDescent="0.2">
      <c r="A12" s="522" t="s">
        <v>5</v>
      </c>
      <c r="B12" s="79">
        <f>طابوق!K14+بلوك!I14+حجر!G15+رمل!G15+حصى!G16+سمنت!I14+جص!G15+كاشي2!G14+حديد!F14+ابواب!K14+شبابيك!I14+ت.كهربائيه2!G14+ت.صحيه3!H14+'الكلفه الكليه'!I14</f>
        <v>19476854</v>
      </c>
      <c r="C12" s="79">
        <v>15536681</v>
      </c>
      <c r="D12" s="79">
        <f t="shared" si="0"/>
        <v>35013535</v>
      </c>
      <c r="E12" s="493" t="s">
        <v>23</v>
      </c>
      <c r="I12" s="395"/>
      <c r="J12" s="395"/>
      <c r="K12" s="395"/>
      <c r="L12" s="395"/>
      <c r="M12" s="395"/>
      <c r="N12" s="395"/>
      <c r="O12" s="880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  <c r="IX12" s="395"/>
      <c r="IY12" s="395"/>
      <c r="IZ12" s="395"/>
      <c r="JA12" s="395"/>
      <c r="JB12" s="395"/>
      <c r="JC12" s="395"/>
      <c r="JD12" s="395"/>
      <c r="JE12" s="395"/>
      <c r="JF12" s="395"/>
      <c r="JG12" s="395"/>
      <c r="JH12" s="395"/>
      <c r="JI12" s="395"/>
      <c r="JJ12" s="395"/>
      <c r="JK12" s="395"/>
      <c r="JL12" s="395"/>
      <c r="JM12" s="395"/>
      <c r="JN12" s="395"/>
      <c r="JO12" s="395"/>
      <c r="JP12" s="395"/>
      <c r="JQ12" s="395"/>
      <c r="JR12" s="395"/>
      <c r="JS12" s="395"/>
      <c r="JT12" s="395"/>
      <c r="JU12" s="395"/>
      <c r="JV12" s="395"/>
      <c r="JW12" s="395"/>
      <c r="JX12" s="395"/>
      <c r="JY12" s="395"/>
      <c r="JZ12" s="395"/>
      <c r="KA12" s="395"/>
      <c r="KB12" s="395"/>
      <c r="KC12" s="395"/>
      <c r="KD12" s="395"/>
      <c r="KE12" s="395"/>
      <c r="KF12" s="395"/>
      <c r="KG12" s="395"/>
      <c r="KH12" s="395"/>
      <c r="KI12" s="395"/>
      <c r="KJ12" s="395"/>
      <c r="KK12" s="395"/>
      <c r="KL12" s="395"/>
      <c r="KM12" s="395"/>
      <c r="KN12" s="395"/>
      <c r="KO12" s="395"/>
      <c r="KP12" s="395"/>
      <c r="KQ12" s="395"/>
      <c r="KR12" s="395"/>
      <c r="KS12" s="395"/>
      <c r="KT12" s="395"/>
      <c r="KU12" s="395"/>
      <c r="KV12" s="395"/>
      <c r="KW12" s="395"/>
      <c r="KX12" s="395"/>
      <c r="KY12" s="395"/>
      <c r="KZ12" s="395"/>
      <c r="LA12" s="395"/>
      <c r="LB12" s="395"/>
      <c r="LC12" s="395"/>
      <c r="LD12" s="395"/>
      <c r="LE12" s="395"/>
      <c r="LF12" s="395"/>
      <c r="LG12" s="395"/>
      <c r="LH12" s="395"/>
      <c r="LI12" s="395"/>
      <c r="LJ12" s="395"/>
      <c r="LK12" s="395"/>
      <c r="LL12" s="395"/>
      <c r="LM12" s="395"/>
      <c r="LN12" s="395"/>
      <c r="LO12" s="395"/>
      <c r="LP12" s="395"/>
      <c r="LQ12" s="395"/>
      <c r="LR12" s="395"/>
      <c r="LS12" s="395"/>
      <c r="LT12" s="395"/>
      <c r="LU12" s="395"/>
      <c r="LV12" s="395"/>
      <c r="LW12" s="395"/>
      <c r="LX12" s="395"/>
      <c r="LY12" s="395"/>
      <c r="LZ12" s="395"/>
      <c r="MA12" s="395"/>
      <c r="MB12" s="395"/>
      <c r="MC12" s="395"/>
      <c r="MD12" s="395"/>
      <c r="ME12" s="395"/>
      <c r="MF12" s="395"/>
      <c r="MG12" s="395"/>
      <c r="MH12" s="395"/>
      <c r="MI12" s="395"/>
      <c r="MJ12" s="395"/>
      <c r="MK12" s="395"/>
      <c r="ML12" s="395"/>
      <c r="MM12" s="395"/>
      <c r="MN12" s="395"/>
      <c r="MO12" s="395"/>
      <c r="MP12" s="395"/>
      <c r="MQ12" s="395"/>
      <c r="MR12" s="395"/>
      <c r="MS12" s="395"/>
      <c r="MT12" s="395"/>
      <c r="MU12" s="395"/>
      <c r="MV12" s="395"/>
      <c r="MW12" s="395"/>
      <c r="MX12" s="395"/>
      <c r="MY12" s="395"/>
      <c r="MZ12" s="395"/>
      <c r="NA12" s="395"/>
      <c r="NB12" s="395"/>
      <c r="NC12" s="395"/>
      <c r="ND12" s="395"/>
      <c r="NE12" s="395"/>
      <c r="NF12" s="395"/>
      <c r="NG12" s="395"/>
      <c r="NH12" s="395"/>
      <c r="NI12" s="395"/>
      <c r="NJ12" s="395"/>
      <c r="NK12" s="395"/>
      <c r="NL12" s="395"/>
      <c r="NM12" s="395"/>
      <c r="NN12" s="395"/>
      <c r="NO12" s="395"/>
      <c r="NP12" s="395"/>
      <c r="NQ12" s="395"/>
      <c r="NR12" s="395"/>
      <c r="NS12" s="395"/>
      <c r="NT12" s="395"/>
      <c r="NU12" s="395"/>
      <c r="NV12" s="395"/>
      <c r="NW12" s="395"/>
      <c r="NX12" s="395"/>
      <c r="NY12" s="395"/>
      <c r="NZ12" s="395"/>
      <c r="OA12" s="395"/>
      <c r="OB12" s="395"/>
      <c r="OC12" s="395"/>
      <c r="OD12" s="395"/>
      <c r="OE12" s="395"/>
      <c r="OF12" s="395"/>
      <c r="OG12" s="395"/>
      <c r="OH12" s="395"/>
      <c r="OI12" s="395"/>
      <c r="OJ12" s="395"/>
      <c r="OK12" s="395"/>
      <c r="OL12" s="395"/>
      <c r="OM12" s="395"/>
      <c r="ON12" s="395"/>
      <c r="OO12" s="395"/>
      <c r="OP12" s="395"/>
      <c r="OQ12" s="395"/>
      <c r="OR12" s="395"/>
      <c r="OS12" s="395"/>
      <c r="OT12" s="395"/>
      <c r="OU12" s="395"/>
      <c r="OV12" s="395"/>
      <c r="OW12" s="395"/>
      <c r="OX12" s="395"/>
      <c r="OY12" s="395"/>
      <c r="OZ12" s="395"/>
      <c r="PA12" s="395"/>
      <c r="PB12" s="395"/>
      <c r="PC12" s="395"/>
      <c r="PD12" s="395"/>
      <c r="PE12" s="395"/>
      <c r="PF12" s="395"/>
      <c r="PG12" s="395"/>
      <c r="PH12" s="395"/>
      <c r="PI12" s="395"/>
      <c r="PJ12" s="395"/>
      <c r="PK12" s="395"/>
      <c r="PL12" s="395"/>
      <c r="PM12" s="395"/>
      <c r="PN12" s="395"/>
      <c r="PO12" s="395"/>
      <c r="PP12" s="395"/>
      <c r="PQ12" s="395"/>
      <c r="PR12" s="395"/>
      <c r="PS12" s="395"/>
      <c r="PT12" s="395"/>
      <c r="PU12" s="395"/>
      <c r="PV12" s="395"/>
      <c r="PW12" s="395"/>
      <c r="PX12" s="395"/>
      <c r="PY12" s="395"/>
      <c r="PZ12" s="395"/>
      <c r="QA12" s="395"/>
      <c r="QB12" s="395"/>
      <c r="QC12" s="395"/>
      <c r="QD12" s="395"/>
      <c r="QE12" s="395"/>
      <c r="QF12" s="395"/>
      <c r="QG12" s="395"/>
      <c r="QH12" s="395"/>
      <c r="QI12" s="395"/>
      <c r="QJ12" s="395"/>
      <c r="QK12" s="395"/>
      <c r="QL12" s="395"/>
      <c r="QM12" s="395"/>
      <c r="QN12" s="395"/>
      <c r="QO12" s="395"/>
      <c r="QP12" s="395"/>
      <c r="QQ12" s="395"/>
      <c r="QR12" s="395"/>
      <c r="QS12" s="395"/>
      <c r="QT12" s="395"/>
      <c r="QU12" s="395"/>
      <c r="QV12" s="395"/>
      <c r="QW12" s="395"/>
      <c r="QX12" s="395"/>
      <c r="QY12" s="395"/>
      <c r="QZ12" s="395"/>
      <c r="RA12" s="395"/>
      <c r="RB12" s="395"/>
      <c r="RC12" s="395"/>
      <c r="RD12" s="395"/>
      <c r="RE12" s="395"/>
      <c r="RF12" s="395"/>
      <c r="RG12" s="395"/>
      <c r="RH12" s="395"/>
      <c r="RI12" s="395"/>
      <c r="RJ12" s="395"/>
      <c r="RK12" s="395"/>
      <c r="RL12" s="395"/>
      <c r="RM12" s="395"/>
      <c r="RN12" s="395"/>
      <c r="RO12" s="395"/>
      <c r="RP12" s="395"/>
      <c r="RQ12" s="395"/>
      <c r="RR12" s="395"/>
      <c r="RS12" s="395"/>
      <c r="RT12" s="395"/>
      <c r="RU12" s="395"/>
      <c r="RV12" s="395"/>
      <c r="RW12" s="395"/>
      <c r="RX12" s="395"/>
      <c r="RY12" s="395"/>
      <c r="RZ12" s="395"/>
      <c r="SA12" s="395"/>
      <c r="SB12" s="395"/>
      <c r="SC12" s="395"/>
      <c r="SD12" s="395"/>
      <c r="SE12" s="395"/>
      <c r="SF12" s="395"/>
      <c r="SG12" s="395"/>
      <c r="SH12" s="395"/>
      <c r="SI12" s="395"/>
      <c r="SJ12" s="395"/>
      <c r="SK12" s="395"/>
      <c r="SL12" s="395"/>
      <c r="SM12" s="395"/>
      <c r="SN12" s="395"/>
      <c r="SO12" s="395"/>
      <c r="SP12" s="395"/>
      <c r="SQ12" s="395"/>
      <c r="SR12" s="395"/>
      <c r="SS12" s="395"/>
      <c r="ST12" s="395"/>
      <c r="SU12" s="395"/>
      <c r="SV12" s="395"/>
      <c r="SW12" s="395"/>
      <c r="SX12" s="395"/>
      <c r="SY12" s="395"/>
      <c r="SZ12" s="395"/>
      <c r="TA12" s="395"/>
      <c r="TB12" s="395"/>
      <c r="TC12" s="395"/>
      <c r="TD12" s="395"/>
      <c r="TE12" s="395"/>
      <c r="TF12" s="395"/>
      <c r="TG12" s="395"/>
      <c r="TH12" s="395"/>
      <c r="TI12" s="395"/>
      <c r="TJ12" s="395"/>
      <c r="TK12" s="395"/>
      <c r="TL12" s="395"/>
      <c r="TM12" s="395"/>
      <c r="TN12" s="395"/>
      <c r="TO12" s="395"/>
      <c r="TP12" s="395"/>
      <c r="TQ12" s="395"/>
      <c r="TR12" s="395"/>
      <c r="TS12" s="395"/>
      <c r="TT12" s="395"/>
      <c r="TU12" s="395"/>
      <c r="TV12" s="395"/>
      <c r="TW12" s="395"/>
      <c r="TX12" s="395"/>
      <c r="TY12" s="395"/>
      <c r="TZ12" s="395"/>
      <c r="UA12" s="395"/>
      <c r="UB12" s="395"/>
      <c r="UC12" s="395"/>
      <c r="UD12" s="395"/>
      <c r="UE12" s="395"/>
      <c r="UF12" s="395"/>
      <c r="UG12" s="395"/>
      <c r="UH12" s="395"/>
      <c r="UI12" s="395"/>
      <c r="UJ12" s="395"/>
      <c r="UK12" s="395"/>
      <c r="UL12" s="395"/>
      <c r="UM12" s="395"/>
      <c r="UN12" s="395"/>
      <c r="UO12" s="395"/>
    </row>
    <row r="13" spans="1:561" s="289" customFormat="1" ht="15" customHeight="1" x14ac:dyDescent="0.2">
      <c r="A13" s="742" t="s">
        <v>6</v>
      </c>
      <c r="B13" s="482">
        <f>طابوق!K15+بلوك!I15+حجر!G16+رمل!G16+حصى!G17+سمنت!I15+جص!G16+كاشي2!G15+حديد!F15+ابواب!K15+شبابيك!I15+ت.كهربائيه2!G15+ت.صحيه3!H15+'الكلفه الكليه'!I15</f>
        <v>29374731</v>
      </c>
      <c r="C13" s="482">
        <v>7848905</v>
      </c>
      <c r="D13" s="482">
        <f t="shared" si="0"/>
        <v>37223636</v>
      </c>
      <c r="E13" s="743" t="s">
        <v>24</v>
      </c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  <c r="IX13" s="395"/>
      <c r="IY13" s="395"/>
      <c r="IZ13" s="395"/>
      <c r="JA13" s="395"/>
      <c r="JB13" s="395"/>
      <c r="JC13" s="395"/>
      <c r="JD13" s="395"/>
      <c r="JE13" s="395"/>
      <c r="JF13" s="395"/>
      <c r="JG13" s="395"/>
      <c r="JH13" s="395"/>
      <c r="JI13" s="395"/>
      <c r="JJ13" s="395"/>
      <c r="JK13" s="395"/>
      <c r="JL13" s="395"/>
      <c r="JM13" s="395"/>
      <c r="JN13" s="395"/>
      <c r="JO13" s="395"/>
      <c r="JP13" s="395"/>
      <c r="JQ13" s="395"/>
      <c r="JR13" s="395"/>
      <c r="JS13" s="395"/>
      <c r="JT13" s="395"/>
      <c r="JU13" s="395"/>
      <c r="JV13" s="395"/>
      <c r="JW13" s="395"/>
      <c r="JX13" s="395"/>
      <c r="JY13" s="395"/>
      <c r="JZ13" s="395"/>
      <c r="KA13" s="395"/>
      <c r="KB13" s="395"/>
      <c r="KC13" s="395"/>
      <c r="KD13" s="395"/>
      <c r="KE13" s="395"/>
      <c r="KF13" s="395"/>
      <c r="KG13" s="395"/>
      <c r="KH13" s="395"/>
      <c r="KI13" s="395"/>
      <c r="KJ13" s="395"/>
      <c r="KK13" s="395"/>
      <c r="KL13" s="395"/>
      <c r="KM13" s="395"/>
      <c r="KN13" s="395"/>
      <c r="KO13" s="395"/>
      <c r="KP13" s="395"/>
      <c r="KQ13" s="395"/>
      <c r="KR13" s="395"/>
      <c r="KS13" s="395"/>
      <c r="KT13" s="395"/>
      <c r="KU13" s="395"/>
      <c r="KV13" s="395"/>
      <c r="KW13" s="395"/>
      <c r="KX13" s="395"/>
      <c r="KY13" s="395"/>
      <c r="KZ13" s="395"/>
      <c r="LA13" s="395"/>
      <c r="LB13" s="395"/>
      <c r="LC13" s="395"/>
      <c r="LD13" s="395"/>
      <c r="LE13" s="395"/>
      <c r="LF13" s="395"/>
      <c r="LG13" s="395"/>
      <c r="LH13" s="395"/>
      <c r="LI13" s="395"/>
      <c r="LJ13" s="395"/>
      <c r="LK13" s="395"/>
      <c r="LL13" s="395"/>
      <c r="LM13" s="395"/>
      <c r="LN13" s="395"/>
      <c r="LO13" s="395"/>
      <c r="LP13" s="395"/>
      <c r="LQ13" s="395"/>
      <c r="LR13" s="395"/>
      <c r="LS13" s="395"/>
      <c r="LT13" s="395"/>
      <c r="LU13" s="395"/>
      <c r="LV13" s="395"/>
      <c r="LW13" s="395"/>
      <c r="LX13" s="395"/>
      <c r="LY13" s="395"/>
      <c r="LZ13" s="395"/>
      <c r="MA13" s="395"/>
      <c r="MB13" s="395"/>
      <c r="MC13" s="395"/>
      <c r="MD13" s="395"/>
      <c r="ME13" s="395"/>
      <c r="MF13" s="395"/>
      <c r="MG13" s="395"/>
      <c r="MH13" s="395"/>
      <c r="MI13" s="395"/>
      <c r="MJ13" s="395"/>
      <c r="MK13" s="395"/>
      <c r="ML13" s="395"/>
      <c r="MM13" s="395"/>
      <c r="MN13" s="395"/>
      <c r="MO13" s="395"/>
      <c r="MP13" s="395"/>
      <c r="MQ13" s="395"/>
      <c r="MR13" s="395"/>
      <c r="MS13" s="395"/>
      <c r="MT13" s="395"/>
      <c r="MU13" s="395"/>
      <c r="MV13" s="395"/>
      <c r="MW13" s="395"/>
      <c r="MX13" s="395"/>
      <c r="MY13" s="395"/>
      <c r="MZ13" s="395"/>
      <c r="NA13" s="395"/>
      <c r="NB13" s="395"/>
      <c r="NC13" s="395"/>
      <c r="ND13" s="395"/>
      <c r="NE13" s="395"/>
      <c r="NF13" s="395"/>
      <c r="NG13" s="395"/>
      <c r="NH13" s="395"/>
      <c r="NI13" s="395"/>
      <c r="NJ13" s="395"/>
      <c r="NK13" s="395"/>
      <c r="NL13" s="395"/>
      <c r="NM13" s="395"/>
      <c r="NN13" s="395"/>
      <c r="NO13" s="395"/>
      <c r="NP13" s="395"/>
      <c r="NQ13" s="395"/>
      <c r="NR13" s="395"/>
      <c r="NS13" s="395"/>
      <c r="NT13" s="395"/>
      <c r="NU13" s="395"/>
      <c r="NV13" s="395"/>
      <c r="NW13" s="395"/>
      <c r="NX13" s="395"/>
      <c r="NY13" s="395"/>
      <c r="NZ13" s="395"/>
      <c r="OA13" s="395"/>
      <c r="OB13" s="395"/>
      <c r="OC13" s="395"/>
      <c r="OD13" s="395"/>
      <c r="OE13" s="395"/>
      <c r="OF13" s="395"/>
      <c r="OG13" s="395"/>
      <c r="OH13" s="395"/>
      <c r="OI13" s="395"/>
      <c r="OJ13" s="395"/>
      <c r="OK13" s="395"/>
      <c r="OL13" s="395"/>
      <c r="OM13" s="395"/>
      <c r="ON13" s="395"/>
      <c r="OO13" s="395"/>
      <c r="OP13" s="395"/>
      <c r="OQ13" s="395"/>
      <c r="OR13" s="395"/>
      <c r="OS13" s="395"/>
      <c r="OT13" s="395"/>
      <c r="OU13" s="395"/>
      <c r="OV13" s="395"/>
      <c r="OW13" s="395"/>
      <c r="OX13" s="395"/>
      <c r="OY13" s="395"/>
      <c r="OZ13" s="395"/>
      <c r="PA13" s="395"/>
      <c r="PB13" s="395"/>
      <c r="PC13" s="395"/>
      <c r="PD13" s="395"/>
      <c r="PE13" s="395"/>
      <c r="PF13" s="395"/>
      <c r="PG13" s="395"/>
      <c r="PH13" s="395"/>
      <c r="PI13" s="395"/>
      <c r="PJ13" s="395"/>
      <c r="PK13" s="395"/>
      <c r="PL13" s="395"/>
      <c r="PM13" s="395"/>
      <c r="PN13" s="395"/>
      <c r="PO13" s="395"/>
      <c r="PP13" s="395"/>
      <c r="PQ13" s="395"/>
      <c r="PR13" s="395"/>
      <c r="PS13" s="395"/>
      <c r="PT13" s="395"/>
      <c r="PU13" s="395"/>
      <c r="PV13" s="395"/>
      <c r="PW13" s="395"/>
      <c r="PX13" s="395"/>
      <c r="PY13" s="395"/>
      <c r="PZ13" s="395"/>
      <c r="QA13" s="395"/>
      <c r="QB13" s="395"/>
      <c r="QC13" s="395"/>
      <c r="QD13" s="395"/>
      <c r="QE13" s="395"/>
      <c r="QF13" s="395"/>
      <c r="QG13" s="395"/>
      <c r="QH13" s="395"/>
      <c r="QI13" s="395"/>
      <c r="QJ13" s="395"/>
      <c r="QK13" s="395"/>
      <c r="QL13" s="395"/>
      <c r="QM13" s="395"/>
      <c r="QN13" s="395"/>
      <c r="QO13" s="395"/>
      <c r="QP13" s="395"/>
      <c r="QQ13" s="395"/>
      <c r="QR13" s="395"/>
      <c r="QS13" s="395"/>
      <c r="QT13" s="395"/>
      <c r="QU13" s="395"/>
      <c r="QV13" s="395"/>
      <c r="QW13" s="395"/>
      <c r="QX13" s="395"/>
      <c r="QY13" s="395"/>
      <c r="QZ13" s="395"/>
      <c r="RA13" s="395"/>
      <c r="RB13" s="395"/>
      <c r="RC13" s="395"/>
      <c r="RD13" s="395"/>
      <c r="RE13" s="395"/>
      <c r="RF13" s="395"/>
      <c r="RG13" s="395"/>
      <c r="RH13" s="395"/>
      <c r="RI13" s="395"/>
      <c r="RJ13" s="395"/>
      <c r="RK13" s="395"/>
      <c r="RL13" s="395"/>
      <c r="RM13" s="395"/>
      <c r="RN13" s="395"/>
      <c r="RO13" s="395"/>
      <c r="RP13" s="395"/>
      <c r="RQ13" s="395"/>
      <c r="RR13" s="395"/>
      <c r="RS13" s="395"/>
      <c r="RT13" s="395"/>
      <c r="RU13" s="395"/>
      <c r="RV13" s="395"/>
      <c r="RW13" s="395"/>
      <c r="RX13" s="395"/>
      <c r="RY13" s="395"/>
      <c r="RZ13" s="395"/>
      <c r="SA13" s="395"/>
      <c r="SB13" s="395"/>
      <c r="SC13" s="395"/>
      <c r="SD13" s="395"/>
      <c r="SE13" s="395"/>
      <c r="SF13" s="395"/>
      <c r="SG13" s="395"/>
      <c r="SH13" s="395"/>
      <c r="SI13" s="395"/>
      <c r="SJ13" s="395"/>
      <c r="SK13" s="395"/>
      <c r="SL13" s="395"/>
      <c r="SM13" s="395"/>
      <c r="SN13" s="395"/>
      <c r="SO13" s="395"/>
      <c r="SP13" s="395"/>
      <c r="SQ13" s="395"/>
      <c r="SR13" s="395"/>
      <c r="SS13" s="395"/>
      <c r="ST13" s="395"/>
      <c r="SU13" s="395"/>
      <c r="SV13" s="395"/>
      <c r="SW13" s="395"/>
      <c r="SX13" s="395"/>
      <c r="SY13" s="395"/>
      <c r="SZ13" s="395"/>
      <c r="TA13" s="395"/>
      <c r="TB13" s="395"/>
      <c r="TC13" s="395"/>
      <c r="TD13" s="395"/>
      <c r="TE13" s="395"/>
      <c r="TF13" s="395"/>
      <c r="TG13" s="395"/>
      <c r="TH13" s="395"/>
      <c r="TI13" s="395"/>
      <c r="TJ13" s="395"/>
      <c r="TK13" s="395"/>
      <c r="TL13" s="395"/>
      <c r="TM13" s="395"/>
      <c r="TN13" s="395"/>
      <c r="TO13" s="395"/>
      <c r="TP13" s="395"/>
      <c r="TQ13" s="395"/>
      <c r="TR13" s="395"/>
      <c r="TS13" s="395"/>
      <c r="TT13" s="395"/>
      <c r="TU13" s="395"/>
      <c r="TV13" s="395"/>
      <c r="TW13" s="395"/>
      <c r="TX13" s="395"/>
      <c r="TY13" s="395"/>
      <c r="TZ13" s="395"/>
      <c r="UA13" s="395"/>
      <c r="UB13" s="395"/>
      <c r="UC13" s="395"/>
      <c r="UD13" s="395"/>
      <c r="UE13" s="395"/>
      <c r="UF13" s="395"/>
      <c r="UG13" s="395"/>
      <c r="UH13" s="395"/>
      <c r="UI13" s="395"/>
      <c r="UJ13" s="395"/>
      <c r="UK13" s="395"/>
      <c r="UL13" s="395"/>
      <c r="UM13" s="395"/>
      <c r="UN13" s="395"/>
      <c r="UO13" s="395"/>
    </row>
    <row r="14" spans="1:561" s="289" customFormat="1" ht="12.75" customHeight="1" x14ac:dyDescent="0.2">
      <c r="A14" s="522" t="s">
        <v>11</v>
      </c>
      <c r="B14" s="79">
        <f>طابوق!K16+بلوك!I16+حجر!G17+رمل!G17+حصى!G18+سمنت!I16+جص!G17+كاشي2!G16+حديد!F16+ابواب!K16+شبابيك!I16+ت.كهربائيه2!G16+ت.صحيه3!H16+'الكلفه الكليه'!I16</f>
        <v>6763496</v>
      </c>
      <c r="C14" s="79">
        <v>6186906</v>
      </c>
      <c r="D14" s="79">
        <f t="shared" si="0"/>
        <v>12950402</v>
      </c>
      <c r="E14" s="493" t="s">
        <v>21</v>
      </c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CS14" s="395"/>
      <c r="CT14" s="395"/>
      <c r="CU14" s="395"/>
      <c r="CV14" s="395"/>
      <c r="CW14" s="395"/>
      <c r="CX14" s="395"/>
      <c r="CY14" s="395"/>
      <c r="CZ14" s="395"/>
      <c r="DA14" s="395"/>
      <c r="DB14" s="395"/>
      <c r="DC14" s="395"/>
      <c r="DD14" s="395"/>
      <c r="DE14" s="395"/>
      <c r="DF14" s="395"/>
      <c r="DG14" s="395"/>
      <c r="DH14" s="395"/>
      <c r="DI14" s="395"/>
      <c r="DJ14" s="395"/>
      <c r="DK14" s="395"/>
      <c r="DL14" s="395"/>
      <c r="DM14" s="395"/>
      <c r="DN14" s="395"/>
      <c r="DO14" s="395"/>
      <c r="DP14" s="395"/>
      <c r="DQ14" s="395"/>
      <c r="DR14" s="395"/>
      <c r="DS14" s="395"/>
      <c r="DT14" s="395"/>
      <c r="DU14" s="395"/>
      <c r="DV14" s="395"/>
      <c r="DW14" s="395"/>
      <c r="DX14" s="395"/>
      <c r="DY14" s="395"/>
      <c r="DZ14" s="395"/>
      <c r="EA14" s="395"/>
      <c r="EB14" s="395"/>
      <c r="EC14" s="395"/>
      <c r="ED14" s="395"/>
      <c r="EE14" s="395"/>
      <c r="EF14" s="395"/>
      <c r="EG14" s="395"/>
      <c r="EH14" s="395"/>
      <c r="EI14" s="395"/>
      <c r="EJ14" s="395"/>
      <c r="EK14" s="395"/>
      <c r="EL14" s="395"/>
      <c r="EM14" s="395"/>
      <c r="EN14" s="395"/>
      <c r="EO14" s="395"/>
      <c r="EP14" s="395"/>
      <c r="EQ14" s="395"/>
      <c r="ER14" s="395"/>
      <c r="ES14" s="395"/>
      <c r="ET14" s="395"/>
      <c r="EU14" s="395"/>
      <c r="EV14" s="395"/>
      <c r="EW14" s="395"/>
      <c r="EX14" s="395"/>
      <c r="EY14" s="395"/>
      <c r="EZ14" s="395"/>
      <c r="FA14" s="395"/>
      <c r="FB14" s="395"/>
      <c r="FC14" s="395"/>
      <c r="FD14" s="395"/>
      <c r="FE14" s="395"/>
      <c r="FF14" s="395"/>
      <c r="FG14" s="395"/>
      <c r="FH14" s="395"/>
      <c r="FI14" s="395"/>
      <c r="FJ14" s="395"/>
      <c r="FK14" s="395"/>
      <c r="FL14" s="395"/>
      <c r="FM14" s="395"/>
      <c r="FN14" s="395"/>
      <c r="FO14" s="395"/>
      <c r="FP14" s="395"/>
      <c r="FQ14" s="395"/>
      <c r="FR14" s="395"/>
      <c r="FS14" s="395"/>
      <c r="FT14" s="395"/>
      <c r="FU14" s="395"/>
      <c r="FV14" s="395"/>
      <c r="FW14" s="395"/>
      <c r="FX14" s="395"/>
      <c r="FY14" s="395"/>
      <c r="FZ14" s="395"/>
      <c r="GA14" s="395"/>
      <c r="GB14" s="395"/>
      <c r="GC14" s="395"/>
      <c r="GD14" s="395"/>
      <c r="GE14" s="395"/>
      <c r="GF14" s="395"/>
      <c r="GG14" s="395"/>
      <c r="GH14" s="395"/>
      <c r="GI14" s="395"/>
      <c r="GJ14" s="395"/>
      <c r="GK14" s="395"/>
      <c r="GL14" s="395"/>
      <c r="GM14" s="395"/>
      <c r="GN14" s="395"/>
      <c r="GO14" s="395"/>
      <c r="GP14" s="395"/>
      <c r="GQ14" s="395"/>
      <c r="GR14" s="395"/>
      <c r="GS14" s="395"/>
      <c r="GT14" s="395"/>
      <c r="GU14" s="395"/>
      <c r="GV14" s="395"/>
      <c r="GW14" s="395"/>
      <c r="GX14" s="395"/>
      <c r="GY14" s="395"/>
      <c r="GZ14" s="395"/>
      <c r="HA14" s="395"/>
      <c r="HB14" s="395"/>
      <c r="HC14" s="395"/>
      <c r="HD14" s="395"/>
      <c r="HE14" s="395"/>
      <c r="HF14" s="395"/>
      <c r="HG14" s="395"/>
      <c r="HH14" s="395"/>
      <c r="HI14" s="395"/>
      <c r="HJ14" s="395"/>
      <c r="HK14" s="395"/>
      <c r="HL14" s="395"/>
      <c r="HM14" s="395"/>
      <c r="HN14" s="395"/>
      <c r="HO14" s="395"/>
      <c r="HP14" s="395"/>
      <c r="HQ14" s="395"/>
      <c r="HR14" s="395"/>
      <c r="HS14" s="395"/>
      <c r="HT14" s="395"/>
      <c r="HU14" s="395"/>
      <c r="HV14" s="395"/>
      <c r="HW14" s="395"/>
      <c r="HX14" s="395"/>
      <c r="HY14" s="395"/>
      <c r="HZ14" s="395"/>
      <c r="IA14" s="395"/>
      <c r="IB14" s="395"/>
      <c r="IC14" s="395"/>
      <c r="ID14" s="395"/>
      <c r="IE14" s="395"/>
      <c r="IF14" s="395"/>
      <c r="IG14" s="395"/>
      <c r="IH14" s="395"/>
      <c r="II14" s="395"/>
      <c r="IJ14" s="395"/>
      <c r="IK14" s="395"/>
      <c r="IL14" s="395"/>
      <c r="IM14" s="395"/>
      <c r="IN14" s="395"/>
      <c r="IO14" s="395"/>
      <c r="IP14" s="395"/>
      <c r="IQ14" s="395"/>
      <c r="IR14" s="395"/>
      <c r="IS14" s="395"/>
      <c r="IT14" s="395"/>
      <c r="IU14" s="395"/>
      <c r="IV14" s="395"/>
      <c r="IW14" s="395"/>
      <c r="IX14" s="395"/>
      <c r="IY14" s="395"/>
      <c r="IZ14" s="395"/>
      <c r="JA14" s="395"/>
      <c r="JB14" s="395"/>
      <c r="JC14" s="395"/>
      <c r="JD14" s="395"/>
      <c r="JE14" s="395"/>
      <c r="JF14" s="395"/>
      <c r="JG14" s="395"/>
      <c r="JH14" s="395"/>
      <c r="JI14" s="395"/>
      <c r="JJ14" s="395"/>
      <c r="JK14" s="395"/>
      <c r="JL14" s="395"/>
      <c r="JM14" s="395"/>
      <c r="JN14" s="395"/>
      <c r="JO14" s="395"/>
      <c r="JP14" s="395"/>
      <c r="JQ14" s="395"/>
      <c r="JR14" s="395"/>
      <c r="JS14" s="395"/>
      <c r="JT14" s="395"/>
      <c r="JU14" s="395"/>
      <c r="JV14" s="395"/>
      <c r="JW14" s="395"/>
      <c r="JX14" s="395"/>
      <c r="JY14" s="395"/>
      <c r="JZ14" s="395"/>
      <c r="KA14" s="395"/>
      <c r="KB14" s="395"/>
      <c r="KC14" s="395"/>
      <c r="KD14" s="395"/>
      <c r="KE14" s="395"/>
      <c r="KF14" s="395"/>
      <c r="KG14" s="395"/>
      <c r="KH14" s="395"/>
      <c r="KI14" s="395"/>
      <c r="KJ14" s="395"/>
      <c r="KK14" s="395"/>
      <c r="KL14" s="395"/>
      <c r="KM14" s="395"/>
      <c r="KN14" s="395"/>
      <c r="KO14" s="395"/>
      <c r="KP14" s="395"/>
      <c r="KQ14" s="395"/>
      <c r="KR14" s="395"/>
      <c r="KS14" s="395"/>
      <c r="KT14" s="395"/>
      <c r="KU14" s="395"/>
      <c r="KV14" s="395"/>
      <c r="KW14" s="395"/>
      <c r="KX14" s="395"/>
      <c r="KY14" s="395"/>
      <c r="KZ14" s="395"/>
      <c r="LA14" s="395"/>
      <c r="LB14" s="395"/>
      <c r="LC14" s="395"/>
      <c r="LD14" s="395"/>
      <c r="LE14" s="395"/>
      <c r="LF14" s="395"/>
      <c r="LG14" s="395"/>
      <c r="LH14" s="395"/>
      <c r="LI14" s="395"/>
      <c r="LJ14" s="395"/>
      <c r="LK14" s="395"/>
      <c r="LL14" s="395"/>
      <c r="LM14" s="395"/>
      <c r="LN14" s="395"/>
      <c r="LO14" s="395"/>
      <c r="LP14" s="395"/>
      <c r="LQ14" s="395"/>
      <c r="LR14" s="395"/>
      <c r="LS14" s="395"/>
      <c r="LT14" s="395"/>
      <c r="LU14" s="395"/>
      <c r="LV14" s="395"/>
      <c r="LW14" s="395"/>
      <c r="LX14" s="395"/>
      <c r="LY14" s="395"/>
      <c r="LZ14" s="395"/>
      <c r="MA14" s="395"/>
      <c r="MB14" s="395"/>
      <c r="MC14" s="395"/>
      <c r="MD14" s="395"/>
      <c r="ME14" s="395"/>
      <c r="MF14" s="395"/>
      <c r="MG14" s="395"/>
      <c r="MH14" s="395"/>
      <c r="MI14" s="395"/>
      <c r="MJ14" s="395"/>
      <c r="MK14" s="395"/>
      <c r="ML14" s="395"/>
      <c r="MM14" s="395"/>
      <c r="MN14" s="395"/>
      <c r="MO14" s="395"/>
      <c r="MP14" s="395"/>
      <c r="MQ14" s="395"/>
      <c r="MR14" s="395"/>
      <c r="MS14" s="395"/>
      <c r="MT14" s="395"/>
      <c r="MU14" s="395"/>
      <c r="MV14" s="395"/>
      <c r="MW14" s="395"/>
      <c r="MX14" s="395"/>
      <c r="MY14" s="395"/>
      <c r="MZ14" s="395"/>
      <c r="NA14" s="395"/>
      <c r="NB14" s="395"/>
      <c r="NC14" s="395"/>
      <c r="ND14" s="395"/>
      <c r="NE14" s="395"/>
      <c r="NF14" s="395"/>
      <c r="NG14" s="395"/>
      <c r="NH14" s="395"/>
      <c r="NI14" s="395"/>
      <c r="NJ14" s="395"/>
      <c r="NK14" s="395"/>
      <c r="NL14" s="395"/>
      <c r="NM14" s="395"/>
      <c r="NN14" s="395"/>
      <c r="NO14" s="395"/>
      <c r="NP14" s="395"/>
      <c r="NQ14" s="395"/>
      <c r="NR14" s="395"/>
      <c r="NS14" s="395"/>
      <c r="NT14" s="395"/>
      <c r="NU14" s="395"/>
      <c r="NV14" s="395"/>
      <c r="NW14" s="395"/>
      <c r="NX14" s="395"/>
      <c r="NY14" s="395"/>
      <c r="NZ14" s="395"/>
      <c r="OA14" s="395"/>
      <c r="OB14" s="395"/>
      <c r="OC14" s="395"/>
      <c r="OD14" s="395"/>
      <c r="OE14" s="395"/>
      <c r="OF14" s="395"/>
      <c r="OG14" s="395"/>
      <c r="OH14" s="395"/>
      <c r="OI14" s="395"/>
      <c r="OJ14" s="395"/>
      <c r="OK14" s="395"/>
      <c r="OL14" s="395"/>
      <c r="OM14" s="395"/>
      <c r="ON14" s="395"/>
      <c r="OO14" s="395"/>
      <c r="OP14" s="395"/>
      <c r="OQ14" s="395"/>
      <c r="OR14" s="395"/>
      <c r="OS14" s="395"/>
      <c r="OT14" s="395"/>
      <c r="OU14" s="395"/>
      <c r="OV14" s="395"/>
      <c r="OW14" s="395"/>
      <c r="OX14" s="395"/>
      <c r="OY14" s="395"/>
      <c r="OZ14" s="395"/>
      <c r="PA14" s="395"/>
      <c r="PB14" s="395"/>
      <c r="PC14" s="395"/>
      <c r="PD14" s="395"/>
      <c r="PE14" s="395"/>
      <c r="PF14" s="395"/>
      <c r="PG14" s="395"/>
      <c r="PH14" s="395"/>
      <c r="PI14" s="395"/>
      <c r="PJ14" s="395"/>
      <c r="PK14" s="395"/>
      <c r="PL14" s="395"/>
      <c r="PM14" s="395"/>
      <c r="PN14" s="395"/>
      <c r="PO14" s="395"/>
      <c r="PP14" s="395"/>
      <c r="PQ14" s="395"/>
      <c r="PR14" s="395"/>
      <c r="PS14" s="395"/>
      <c r="PT14" s="395"/>
      <c r="PU14" s="395"/>
      <c r="PV14" s="395"/>
      <c r="PW14" s="395"/>
      <c r="PX14" s="395"/>
      <c r="PY14" s="395"/>
      <c r="PZ14" s="395"/>
      <c r="QA14" s="395"/>
      <c r="QB14" s="395"/>
      <c r="QC14" s="395"/>
      <c r="QD14" s="395"/>
      <c r="QE14" s="395"/>
      <c r="QF14" s="395"/>
      <c r="QG14" s="395"/>
      <c r="QH14" s="395"/>
      <c r="QI14" s="395"/>
      <c r="QJ14" s="395"/>
      <c r="QK14" s="395"/>
      <c r="QL14" s="395"/>
      <c r="QM14" s="395"/>
      <c r="QN14" s="395"/>
      <c r="QO14" s="395"/>
      <c r="QP14" s="395"/>
      <c r="QQ14" s="395"/>
      <c r="QR14" s="395"/>
      <c r="QS14" s="395"/>
      <c r="QT14" s="395"/>
      <c r="QU14" s="395"/>
      <c r="QV14" s="395"/>
      <c r="QW14" s="395"/>
      <c r="QX14" s="395"/>
      <c r="QY14" s="395"/>
      <c r="QZ14" s="395"/>
      <c r="RA14" s="395"/>
      <c r="RB14" s="395"/>
      <c r="RC14" s="395"/>
      <c r="RD14" s="395"/>
      <c r="RE14" s="395"/>
      <c r="RF14" s="395"/>
      <c r="RG14" s="395"/>
      <c r="RH14" s="395"/>
      <c r="RI14" s="395"/>
      <c r="RJ14" s="395"/>
      <c r="RK14" s="395"/>
      <c r="RL14" s="395"/>
      <c r="RM14" s="395"/>
      <c r="RN14" s="395"/>
      <c r="RO14" s="395"/>
      <c r="RP14" s="395"/>
      <c r="RQ14" s="395"/>
      <c r="RR14" s="395"/>
      <c r="RS14" s="395"/>
      <c r="RT14" s="395"/>
      <c r="RU14" s="395"/>
      <c r="RV14" s="395"/>
      <c r="RW14" s="395"/>
      <c r="RX14" s="395"/>
      <c r="RY14" s="395"/>
      <c r="RZ14" s="395"/>
      <c r="SA14" s="395"/>
      <c r="SB14" s="395"/>
      <c r="SC14" s="395"/>
      <c r="SD14" s="395"/>
      <c r="SE14" s="395"/>
      <c r="SF14" s="395"/>
      <c r="SG14" s="395"/>
      <c r="SH14" s="395"/>
      <c r="SI14" s="395"/>
      <c r="SJ14" s="395"/>
      <c r="SK14" s="395"/>
      <c r="SL14" s="395"/>
      <c r="SM14" s="395"/>
      <c r="SN14" s="395"/>
      <c r="SO14" s="395"/>
      <c r="SP14" s="395"/>
      <c r="SQ14" s="395"/>
      <c r="SR14" s="395"/>
      <c r="SS14" s="395"/>
      <c r="ST14" s="395"/>
      <c r="SU14" s="395"/>
      <c r="SV14" s="395"/>
      <c r="SW14" s="395"/>
      <c r="SX14" s="395"/>
      <c r="SY14" s="395"/>
      <c r="SZ14" s="395"/>
      <c r="TA14" s="395"/>
      <c r="TB14" s="395"/>
      <c r="TC14" s="395"/>
      <c r="TD14" s="395"/>
      <c r="TE14" s="395"/>
      <c r="TF14" s="395"/>
      <c r="TG14" s="395"/>
      <c r="TH14" s="395"/>
      <c r="TI14" s="395"/>
      <c r="TJ14" s="395"/>
      <c r="TK14" s="395"/>
      <c r="TL14" s="395"/>
      <c r="TM14" s="395"/>
      <c r="TN14" s="395"/>
      <c r="TO14" s="395"/>
      <c r="TP14" s="395"/>
      <c r="TQ14" s="395"/>
      <c r="TR14" s="395"/>
      <c r="TS14" s="395"/>
      <c r="TT14" s="395"/>
      <c r="TU14" s="395"/>
      <c r="TV14" s="395"/>
      <c r="TW14" s="395"/>
      <c r="TX14" s="395"/>
      <c r="TY14" s="395"/>
      <c r="TZ14" s="395"/>
      <c r="UA14" s="395"/>
      <c r="UB14" s="395"/>
      <c r="UC14" s="395"/>
      <c r="UD14" s="395"/>
      <c r="UE14" s="395"/>
      <c r="UF14" s="395"/>
      <c r="UG14" s="395"/>
      <c r="UH14" s="395"/>
      <c r="UI14" s="395"/>
      <c r="UJ14" s="395"/>
      <c r="UK14" s="395"/>
      <c r="UL14" s="395"/>
      <c r="UM14" s="395"/>
      <c r="UN14" s="395"/>
      <c r="UO14" s="395"/>
    </row>
    <row r="15" spans="1:561" s="289" customFormat="1" ht="21.75" customHeight="1" x14ac:dyDescent="0.2">
      <c r="A15" s="742" t="s">
        <v>2</v>
      </c>
      <c r="B15" s="482">
        <f>طابوق!K17+بلوك!I17+حجر!G18+رمل!G18+حصى!G19+سمنت!I17+جص!G18+كاشي2!G17+حديد!F17+ابواب!K17+شبابيك!I17+ت.كهربائيه2!G17+ت.صحيه3!H17+'الكلفه الكليه'!I17</f>
        <v>9080645</v>
      </c>
      <c r="C15" s="482">
        <v>5105668</v>
      </c>
      <c r="D15" s="482">
        <f t="shared" si="0"/>
        <v>14186313</v>
      </c>
      <c r="E15" s="801" t="s">
        <v>14</v>
      </c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  <c r="IX15" s="395"/>
      <c r="IY15" s="395"/>
      <c r="IZ15" s="395"/>
      <c r="JA15" s="395"/>
      <c r="JB15" s="395"/>
      <c r="JC15" s="395"/>
      <c r="JD15" s="395"/>
      <c r="JE15" s="395"/>
      <c r="JF15" s="395"/>
      <c r="JG15" s="395"/>
      <c r="JH15" s="395"/>
      <c r="JI15" s="395"/>
      <c r="JJ15" s="395"/>
      <c r="JK15" s="395"/>
      <c r="JL15" s="395"/>
      <c r="JM15" s="395"/>
      <c r="JN15" s="395"/>
      <c r="JO15" s="395"/>
      <c r="JP15" s="395"/>
      <c r="JQ15" s="395"/>
      <c r="JR15" s="395"/>
      <c r="JS15" s="395"/>
      <c r="JT15" s="395"/>
      <c r="JU15" s="395"/>
      <c r="JV15" s="395"/>
      <c r="JW15" s="395"/>
      <c r="JX15" s="395"/>
      <c r="JY15" s="395"/>
      <c r="JZ15" s="395"/>
      <c r="KA15" s="395"/>
      <c r="KB15" s="395"/>
      <c r="KC15" s="395"/>
      <c r="KD15" s="395"/>
      <c r="KE15" s="395"/>
      <c r="KF15" s="395"/>
      <c r="KG15" s="395"/>
      <c r="KH15" s="395"/>
      <c r="KI15" s="395"/>
      <c r="KJ15" s="395"/>
      <c r="KK15" s="395"/>
      <c r="KL15" s="395"/>
      <c r="KM15" s="395"/>
      <c r="KN15" s="395"/>
      <c r="KO15" s="395"/>
      <c r="KP15" s="395"/>
      <c r="KQ15" s="395"/>
      <c r="KR15" s="395"/>
      <c r="KS15" s="395"/>
      <c r="KT15" s="395"/>
      <c r="KU15" s="395"/>
      <c r="KV15" s="395"/>
      <c r="KW15" s="395"/>
      <c r="KX15" s="395"/>
      <c r="KY15" s="395"/>
      <c r="KZ15" s="395"/>
      <c r="LA15" s="395"/>
      <c r="LB15" s="395"/>
      <c r="LC15" s="395"/>
      <c r="LD15" s="395"/>
      <c r="LE15" s="395"/>
      <c r="LF15" s="395"/>
      <c r="LG15" s="395"/>
      <c r="LH15" s="395"/>
      <c r="LI15" s="395"/>
      <c r="LJ15" s="395"/>
      <c r="LK15" s="395"/>
      <c r="LL15" s="395"/>
      <c r="LM15" s="395"/>
      <c r="LN15" s="395"/>
      <c r="LO15" s="395"/>
      <c r="LP15" s="395"/>
      <c r="LQ15" s="395"/>
      <c r="LR15" s="395"/>
      <c r="LS15" s="395"/>
      <c r="LT15" s="395"/>
      <c r="LU15" s="395"/>
      <c r="LV15" s="395"/>
      <c r="LW15" s="395"/>
      <c r="LX15" s="395"/>
      <c r="LY15" s="395"/>
      <c r="LZ15" s="395"/>
      <c r="MA15" s="395"/>
      <c r="MB15" s="395"/>
      <c r="MC15" s="395"/>
      <c r="MD15" s="395"/>
      <c r="ME15" s="395"/>
      <c r="MF15" s="395"/>
      <c r="MG15" s="395"/>
      <c r="MH15" s="395"/>
      <c r="MI15" s="395"/>
      <c r="MJ15" s="395"/>
      <c r="MK15" s="395"/>
      <c r="ML15" s="395"/>
      <c r="MM15" s="395"/>
      <c r="MN15" s="395"/>
      <c r="MO15" s="395"/>
      <c r="MP15" s="395"/>
      <c r="MQ15" s="395"/>
      <c r="MR15" s="395"/>
      <c r="MS15" s="395"/>
      <c r="MT15" s="395"/>
      <c r="MU15" s="395"/>
      <c r="MV15" s="395"/>
      <c r="MW15" s="395"/>
      <c r="MX15" s="395"/>
      <c r="MY15" s="395"/>
      <c r="MZ15" s="395"/>
      <c r="NA15" s="395"/>
      <c r="NB15" s="395"/>
      <c r="NC15" s="395"/>
      <c r="ND15" s="395"/>
      <c r="NE15" s="395"/>
      <c r="NF15" s="395"/>
      <c r="NG15" s="395"/>
      <c r="NH15" s="395"/>
      <c r="NI15" s="395"/>
      <c r="NJ15" s="395"/>
      <c r="NK15" s="395"/>
      <c r="NL15" s="395"/>
      <c r="NM15" s="395"/>
      <c r="NN15" s="395"/>
      <c r="NO15" s="395"/>
      <c r="NP15" s="395"/>
      <c r="NQ15" s="395"/>
      <c r="NR15" s="395"/>
      <c r="NS15" s="395"/>
      <c r="NT15" s="395"/>
      <c r="NU15" s="395"/>
      <c r="NV15" s="395"/>
      <c r="NW15" s="395"/>
      <c r="NX15" s="395"/>
      <c r="NY15" s="395"/>
      <c r="NZ15" s="395"/>
      <c r="OA15" s="395"/>
      <c r="OB15" s="395"/>
      <c r="OC15" s="395"/>
      <c r="OD15" s="395"/>
      <c r="OE15" s="395"/>
      <c r="OF15" s="395"/>
      <c r="OG15" s="395"/>
      <c r="OH15" s="395"/>
      <c r="OI15" s="395"/>
      <c r="OJ15" s="395"/>
      <c r="OK15" s="395"/>
      <c r="OL15" s="395"/>
      <c r="OM15" s="395"/>
      <c r="ON15" s="395"/>
      <c r="OO15" s="395"/>
      <c r="OP15" s="395"/>
      <c r="OQ15" s="395"/>
      <c r="OR15" s="395"/>
      <c r="OS15" s="395"/>
      <c r="OT15" s="395"/>
      <c r="OU15" s="395"/>
      <c r="OV15" s="395"/>
      <c r="OW15" s="395"/>
      <c r="OX15" s="395"/>
      <c r="OY15" s="395"/>
      <c r="OZ15" s="395"/>
      <c r="PA15" s="395"/>
      <c r="PB15" s="395"/>
      <c r="PC15" s="395"/>
      <c r="PD15" s="395"/>
      <c r="PE15" s="395"/>
      <c r="PF15" s="395"/>
      <c r="PG15" s="395"/>
      <c r="PH15" s="395"/>
      <c r="PI15" s="395"/>
      <c r="PJ15" s="395"/>
      <c r="PK15" s="395"/>
      <c r="PL15" s="395"/>
      <c r="PM15" s="395"/>
      <c r="PN15" s="395"/>
      <c r="PO15" s="395"/>
      <c r="PP15" s="395"/>
      <c r="PQ15" s="395"/>
      <c r="PR15" s="395"/>
      <c r="PS15" s="395"/>
      <c r="PT15" s="395"/>
      <c r="PU15" s="395"/>
      <c r="PV15" s="395"/>
      <c r="PW15" s="395"/>
      <c r="PX15" s="395"/>
      <c r="PY15" s="395"/>
      <c r="PZ15" s="395"/>
      <c r="QA15" s="395"/>
      <c r="QB15" s="395"/>
      <c r="QC15" s="395"/>
      <c r="QD15" s="395"/>
      <c r="QE15" s="395"/>
      <c r="QF15" s="395"/>
      <c r="QG15" s="395"/>
      <c r="QH15" s="395"/>
      <c r="QI15" s="395"/>
      <c r="QJ15" s="395"/>
      <c r="QK15" s="395"/>
      <c r="QL15" s="395"/>
      <c r="QM15" s="395"/>
      <c r="QN15" s="395"/>
      <c r="QO15" s="395"/>
      <c r="QP15" s="395"/>
      <c r="QQ15" s="395"/>
      <c r="QR15" s="395"/>
      <c r="QS15" s="395"/>
      <c r="QT15" s="395"/>
      <c r="QU15" s="395"/>
      <c r="QV15" s="395"/>
      <c r="QW15" s="395"/>
      <c r="QX15" s="395"/>
      <c r="QY15" s="395"/>
      <c r="QZ15" s="395"/>
      <c r="RA15" s="395"/>
      <c r="RB15" s="395"/>
      <c r="RC15" s="395"/>
      <c r="RD15" s="395"/>
      <c r="RE15" s="395"/>
      <c r="RF15" s="395"/>
      <c r="RG15" s="395"/>
      <c r="RH15" s="395"/>
      <c r="RI15" s="395"/>
      <c r="RJ15" s="395"/>
      <c r="RK15" s="395"/>
      <c r="RL15" s="395"/>
      <c r="RM15" s="395"/>
      <c r="RN15" s="395"/>
      <c r="RO15" s="395"/>
      <c r="RP15" s="395"/>
      <c r="RQ15" s="395"/>
      <c r="RR15" s="395"/>
      <c r="RS15" s="395"/>
      <c r="RT15" s="395"/>
      <c r="RU15" s="395"/>
      <c r="RV15" s="395"/>
      <c r="RW15" s="395"/>
      <c r="RX15" s="395"/>
      <c r="RY15" s="395"/>
      <c r="RZ15" s="395"/>
      <c r="SA15" s="395"/>
      <c r="SB15" s="395"/>
      <c r="SC15" s="395"/>
      <c r="SD15" s="395"/>
      <c r="SE15" s="395"/>
      <c r="SF15" s="395"/>
      <c r="SG15" s="395"/>
      <c r="SH15" s="395"/>
      <c r="SI15" s="395"/>
      <c r="SJ15" s="395"/>
      <c r="SK15" s="395"/>
      <c r="SL15" s="395"/>
      <c r="SM15" s="395"/>
      <c r="SN15" s="395"/>
      <c r="SO15" s="395"/>
      <c r="SP15" s="395"/>
      <c r="SQ15" s="395"/>
      <c r="SR15" s="395"/>
      <c r="SS15" s="395"/>
      <c r="ST15" s="395"/>
      <c r="SU15" s="395"/>
      <c r="SV15" s="395"/>
      <c r="SW15" s="395"/>
      <c r="SX15" s="395"/>
      <c r="SY15" s="395"/>
      <c r="SZ15" s="395"/>
      <c r="TA15" s="395"/>
      <c r="TB15" s="395"/>
      <c r="TC15" s="395"/>
      <c r="TD15" s="395"/>
      <c r="TE15" s="395"/>
      <c r="TF15" s="395"/>
      <c r="TG15" s="395"/>
      <c r="TH15" s="395"/>
      <c r="TI15" s="395"/>
      <c r="TJ15" s="395"/>
      <c r="TK15" s="395"/>
      <c r="TL15" s="395"/>
      <c r="TM15" s="395"/>
      <c r="TN15" s="395"/>
      <c r="TO15" s="395"/>
      <c r="TP15" s="395"/>
      <c r="TQ15" s="395"/>
      <c r="TR15" s="395"/>
      <c r="TS15" s="395"/>
      <c r="TT15" s="395"/>
      <c r="TU15" s="395"/>
      <c r="TV15" s="395"/>
      <c r="TW15" s="395"/>
      <c r="TX15" s="395"/>
      <c r="TY15" s="395"/>
      <c r="TZ15" s="395"/>
      <c r="UA15" s="395"/>
      <c r="UB15" s="395"/>
      <c r="UC15" s="395"/>
      <c r="UD15" s="395"/>
      <c r="UE15" s="395"/>
      <c r="UF15" s="395"/>
      <c r="UG15" s="395"/>
      <c r="UH15" s="395"/>
      <c r="UI15" s="395"/>
      <c r="UJ15" s="395"/>
      <c r="UK15" s="395"/>
      <c r="UL15" s="395"/>
      <c r="UM15" s="395"/>
      <c r="UN15" s="395"/>
      <c r="UO15" s="395"/>
    </row>
    <row r="16" spans="1:561" s="289" customFormat="1" ht="15" customHeight="1" x14ac:dyDescent="0.2">
      <c r="A16" s="522" t="s">
        <v>7</v>
      </c>
      <c r="B16" s="79">
        <f>طابوق!K18+بلوك!I18+حجر!G19+رمل!G19+حصى!G20+سمنت!I18+جص!G19+كاشي2!G18+حديد!F18+ابواب!K18+شبابيك!I18+ت.كهربائيه2!G18+ت.صحيه3!H18+'الكلفه الكليه'!I18</f>
        <v>27670386</v>
      </c>
      <c r="C16" s="79">
        <v>30040273</v>
      </c>
      <c r="D16" s="79">
        <f t="shared" si="0"/>
        <v>57710659</v>
      </c>
      <c r="E16" s="493" t="s">
        <v>17</v>
      </c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  <c r="IX16" s="395"/>
      <c r="IY16" s="395"/>
      <c r="IZ16" s="395"/>
      <c r="JA16" s="395"/>
      <c r="JB16" s="395"/>
      <c r="JC16" s="395"/>
      <c r="JD16" s="395"/>
      <c r="JE16" s="395"/>
      <c r="JF16" s="395"/>
      <c r="JG16" s="395"/>
      <c r="JH16" s="395"/>
      <c r="JI16" s="395"/>
      <c r="JJ16" s="395"/>
      <c r="JK16" s="395"/>
      <c r="JL16" s="395"/>
      <c r="JM16" s="395"/>
      <c r="JN16" s="395"/>
      <c r="JO16" s="395"/>
      <c r="JP16" s="395"/>
      <c r="JQ16" s="395"/>
      <c r="JR16" s="395"/>
      <c r="JS16" s="395"/>
      <c r="JT16" s="395"/>
      <c r="JU16" s="395"/>
      <c r="JV16" s="395"/>
      <c r="JW16" s="395"/>
      <c r="JX16" s="395"/>
      <c r="JY16" s="395"/>
      <c r="JZ16" s="395"/>
      <c r="KA16" s="395"/>
      <c r="KB16" s="395"/>
      <c r="KC16" s="395"/>
      <c r="KD16" s="395"/>
      <c r="KE16" s="395"/>
      <c r="KF16" s="395"/>
      <c r="KG16" s="395"/>
      <c r="KH16" s="395"/>
      <c r="KI16" s="395"/>
      <c r="KJ16" s="395"/>
      <c r="KK16" s="395"/>
      <c r="KL16" s="395"/>
      <c r="KM16" s="395"/>
      <c r="KN16" s="395"/>
      <c r="KO16" s="395"/>
      <c r="KP16" s="395"/>
      <c r="KQ16" s="395"/>
      <c r="KR16" s="395"/>
      <c r="KS16" s="395"/>
      <c r="KT16" s="395"/>
      <c r="KU16" s="395"/>
      <c r="KV16" s="395"/>
      <c r="KW16" s="395"/>
      <c r="KX16" s="395"/>
      <c r="KY16" s="395"/>
      <c r="KZ16" s="395"/>
      <c r="LA16" s="395"/>
      <c r="LB16" s="395"/>
      <c r="LC16" s="395"/>
      <c r="LD16" s="395"/>
      <c r="LE16" s="395"/>
      <c r="LF16" s="395"/>
      <c r="LG16" s="395"/>
      <c r="LH16" s="395"/>
      <c r="LI16" s="395"/>
      <c r="LJ16" s="395"/>
      <c r="LK16" s="395"/>
      <c r="LL16" s="395"/>
      <c r="LM16" s="395"/>
      <c r="LN16" s="395"/>
      <c r="LO16" s="395"/>
      <c r="LP16" s="395"/>
      <c r="LQ16" s="395"/>
      <c r="LR16" s="395"/>
      <c r="LS16" s="395"/>
      <c r="LT16" s="395"/>
      <c r="LU16" s="395"/>
      <c r="LV16" s="395"/>
      <c r="LW16" s="395"/>
      <c r="LX16" s="395"/>
      <c r="LY16" s="395"/>
      <c r="LZ16" s="395"/>
      <c r="MA16" s="395"/>
      <c r="MB16" s="395"/>
      <c r="MC16" s="395"/>
      <c r="MD16" s="395"/>
      <c r="ME16" s="395"/>
      <c r="MF16" s="395"/>
      <c r="MG16" s="395"/>
      <c r="MH16" s="395"/>
      <c r="MI16" s="395"/>
      <c r="MJ16" s="395"/>
      <c r="MK16" s="395"/>
      <c r="ML16" s="395"/>
      <c r="MM16" s="395"/>
      <c r="MN16" s="395"/>
      <c r="MO16" s="395"/>
      <c r="MP16" s="395"/>
      <c r="MQ16" s="395"/>
      <c r="MR16" s="395"/>
      <c r="MS16" s="395"/>
      <c r="MT16" s="395"/>
      <c r="MU16" s="395"/>
      <c r="MV16" s="395"/>
      <c r="MW16" s="395"/>
      <c r="MX16" s="395"/>
      <c r="MY16" s="395"/>
      <c r="MZ16" s="395"/>
      <c r="NA16" s="395"/>
      <c r="NB16" s="395"/>
      <c r="NC16" s="395"/>
      <c r="ND16" s="395"/>
      <c r="NE16" s="395"/>
      <c r="NF16" s="395"/>
      <c r="NG16" s="395"/>
      <c r="NH16" s="395"/>
      <c r="NI16" s="395"/>
      <c r="NJ16" s="395"/>
      <c r="NK16" s="395"/>
      <c r="NL16" s="395"/>
      <c r="NM16" s="395"/>
      <c r="NN16" s="395"/>
      <c r="NO16" s="395"/>
      <c r="NP16" s="395"/>
      <c r="NQ16" s="395"/>
      <c r="NR16" s="395"/>
      <c r="NS16" s="395"/>
      <c r="NT16" s="395"/>
      <c r="NU16" s="395"/>
      <c r="NV16" s="395"/>
      <c r="NW16" s="395"/>
      <c r="NX16" s="395"/>
      <c r="NY16" s="395"/>
      <c r="NZ16" s="395"/>
      <c r="OA16" s="395"/>
      <c r="OB16" s="395"/>
      <c r="OC16" s="395"/>
      <c r="OD16" s="395"/>
      <c r="OE16" s="395"/>
      <c r="OF16" s="395"/>
      <c r="OG16" s="395"/>
      <c r="OH16" s="395"/>
      <c r="OI16" s="395"/>
      <c r="OJ16" s="395"/>
      <c r="OK16" s="395"/>
      <c r="OL16" s="395"/>
      <c r="OM16" s="395"/>
      <c r="ON16" s="395"/>
      <c r="OO16" s="395"/>
      <c r="OP16" s="395"/>
      <c r="OQ16" s="395"/>
      <c r="OR16" s="395"/>
      <c r="OS16" s="395"/>
      <c r="OT16" s="395"/>
      <c r="OU16" s="395"/>
      <c r="OV16" s="395"/>
      <c r="OW16" s="395"/>
      <c r="OX16" s="395"/>
      <c r="OY16" s="395"/>
      <c r="OZ16" s="395"/>
      <c r="PA16" s="395"/>
      <c r="PB16" s="395"/>
      <c r="PC16" s="395"/>
      <c r="PD16" s="395"/>
      <c r="PE16" s="395"/>
      <c r="PF16" s="395"/>
      <c r="PG16" s="395"/>
      <c r="PH16" s="395"/>
      <c r="PI16" s="395"/>
      <c r="PJ16" s="395"/>
      <c r="PK16" s="395"/>
      <c r="PL16" s="395"/>
      <c r="PM16" s="395"/>
      <c r="PN16" s="395"/>
      <c r="PO16" s="395"/>
      <c r="PP16" s="395"/>
      <c r="PQ16" s="395"/>
      <c r="PR16" s="395"/>
      <c r="PS16" s="395"/>
      <c r="PT16" s="395"/>
      <c r="PU16" s="395"/>
      <c r="PV16" s="395"/>
      <c r="PW16" s="395"/>
      <c r="PX16" s="395"/>
      <c r="PY16" s="395"/>
      <c r="PZ16" s="395"/>
      <c r="QA16" s="395"/>
      <c r="QB16" s="395"/>
      <c r="QC16" s="395"/>
      <c r="QD16" s="395"/>
      <c r="QE16" s="395"/>
      <c r="QF16" s="395"/>
      <c r="QG16" s="395"/>
      <c r="QH16" s="395"/>
      <c r="QI16" s="395"/>
      <c r="QJ16" s="395"/>
      <c r="QK16" s="395"/>
      <c r="QL16" s="395"/>
      <c r="QM16" s="395"/>
      <c r="QN16" s="395"/>
      <c r="QO16" s="395"/>
      <c r="QP16" s="395"/>
      <c r="QQ16" s="395"/>
      <c r="QR16" s="395"/>
      <c r="QS16" s="395"/>
      <c r="QT16" s="395"/>
      <c r="QU16" s="395"/>
      <c r="QV16" s="395"/>
      <c r="QW16" s="395"/>
      <c r="QX16" s="395"/>
      <c r="QY16" s="395"/>
      <c r="QZ16" s="395"/>
      <c r="RA16" s="395"/>
      <c r="RB16" s="395"/>
      <c r="RC16" s="395"/>
      <c r="RD16" s="395"/>
      <c r="RE16" s="395"/>
      <c r="RF16" s="395"/>
      <c r="RG16" s="395"/>
      <c r="RH16" s="395"/>
      <c r="RI16" s="395"/>
      <c r="RJ16" s="395"/>
      <c r="RK16" s="395"/>
      <c r="RL16" s="395"/>
      <c r="RM16" s="395"/>
      <c r="RN16" s="395"/>
      <c r="RO16" s="395"/>
      <c r="RP16" s="395"/>
      <c r="RQ16" s="395"/>
      <c r="RR16" s="395"/>
      <c r="RS16" s="395"/>
      <c r="RT16" s="395"/>
      <c r="RU16" s="395"/>
      <c r="RV16" s="395"/>
      <c r="RW16" s="395"/>
      <c r="RX16" s="395"/>
      <c r="RY16" s="395"/>
      <c r="RZ16" s="395"/>
      <c r="SA16" s="395"/>
      <c r="SB16" s="395"/>
      <c r="SC16" s="395"/>
      <c r="SD16" s="395"/>
      <c r="SE16" s="395"/>
      <c r="SF16" s="395"/>
      <c r="SG16" s="395"/>
      <c r="SH16" s="395"/>
      <c r="SI16" s="395"/>
      <c r="SJ16" s="395"/>
      <c r="SK16" s="395"/>
      <c r="SL16" s="395"/>
      <c r="SM16" s="395"/>
      <c r="SN16" s="395"/>
      <c r="SO16" s="395"/>
      <c r="SP16" s="395"/>
      <c r="SQ16" s="395"/>
      <c r="SR16" s="395"/>
      <c r="SS16" s="395"/>
      <c r="ST16" s="395"/>
      <c r="SU16" s="395"/>
      <c r="SV16" s="395"/>
      <c r="SW16" s="395"/>
      <c r="SX16" s="395"/>
      <c r="SY16" s="395"/>
      <c r="SZ16" s="395"/>
      <c r="TA16" s="395"/>
      <c r="TB16" s="395"/>
      <c r="TC16" s="395"/>
      <c r="TD16" s="395"/>
      <c r="TE16" s="395"/>
      <c r="TF16" s="395"/>
      <c r="TG16" s="395"/>
      <c r="TH16" s="395"/>
      <c r="TI16" s="395"/>
      <c r="TJ16" s="395"/>
      <c r="TK16" s="395"/>
      <c r="TL16" s="395"/>
      <c r="TM16" s="395"/>
      <c r="TN16" s="395"/>
      <c r="TO16" s="395"/>
      <c r="TP16" s="395"/>
      <c r="TQ16" s="395"/>
      <c r="TR16" s="395"/>
      <c r="TS16" s="395"/>
      <c r="TT16" s="395"/>
      <c r="TU16" s="395"/>
      <c r="TV16" s="395"/>
      <c r="TW16" s="395"/>
      <c r="TX16" s="395"/>
      <c r="TY16" s="395"/>
      <c r="TZ16" s="395"/>
      <c r="UA16" s="395"/>
      <c r="UB16" s="395"/>
      <c r="UC16" s="395"/>
      <c r="UD16" s="395"/>
      <c r="UE16" s="395"/>
      <c r="UF16" s="395"/>
      <c r="UG16" s="395"/>
      <c r="UH16" s="395"/>
      <c r="UI16" s="395"/>
      <c r="UJ16" s="395"/>
      <c r="UK16" s="395"/>
      <c r="UL16" s="395"/>
      <c r="UM16" s="395"/>
      <c r="UN16" s="395"/>
      <c r="UO16" s="395"/>
    </row>
    <row r="17" spans="1:561" s="289" customFormat="1" ht="14.25" customHeight="1" x14ac:dyDescent="0.2">
      <c r="A17" s="742" t="s">
        <v>8</v>
      </c>
      <c r="B17" s="482">
        <f>طابوق!K19+بلوك!I19+حجر!G20+رمل!G20+حصى!G21+سمنت!I19+جص!G20+كاشي2!G19+حديد!F19+ابواب!K19+شبابيك!I19+ت.كهربائيه2!G19+ت.صحيه3!H19+'الكلفه الكليه'!I19</f>
        <v>14764901</v>
      </c>
      <c r="C17" s="482">
        <v>5059943</v>
      </c>
      <c r="D17" s="482">
        <f t="shared" si="0"/>
        <v>19824844</v>
      </c>
      <c r="E17" s="743" t="s">
        <v>18</v>
      </c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  <c r="IX17" s="395"/>
      <c r="IY17" s="395"/>
      <c r="IZ17" s="395"/>
      <c r="JA17" s="395"/>
      <c r="JB17" s="395"/>
      <c r="JC17" s="395"/>
      <c r="JD17" s="395"/>
      <c r="JE17" s="395"/>
      <c r="JF17" s="395"/>
      <c r="JG17" s="395"/>
      <c r="JH17" s="395"/>
      <c r="JI17" s="395"/>
      <c r="JJ17" s="395"/>
      <c r="JK17" s="395"/>
      <c r="JL17" s="395"/>
      <c r="JM17" s="395"/>
      <c r="JN17" s="395"/>
      <c r="JO17" s="395"/>
      <c r="JP17" s="395"/>
      <c r="JQ17" s="395"/>
      <c r="JR17" s="395"/>
      <c r="JS17" s="395"/>
      <c r="JT17" s="395"/>
      <c r="JU17" s="395"/>
      <c r="JV17" s="395"/>
      <c r="JW17" s="395"/>
      <c r="JX17" s="395"/>
      <c r="JY17" s="395"/>
      <c r="JZ17" s="395"/>
      <c r="KA17" s="395"/>
      <c r="KB17" s="395"/>
      <c r="KC17" s="395"/>
      <c r="KD17" s="395"/>
      <c r="KE17" s="395"/>
      <c r="KF17" s="395"/>
      <c r="KG17" s="395"/>
      <c r="KH17" s="395"/>
      <c r="KI17" s="395"/>
      <c r="KJ17" s="395"/>
      <c r="KK17" s="395"/>
      <c r="KL17" s="395"/>
      <c r="KM17" s="395"/>
      <c r="KN17" s="395"/>
      <c r="KO17" s="395"/>
      <c r="KP17" s="395"/>
      <c r="KQ17" s="395"/>
      <c r="KR17" s="395"/>
      <c r="KS17" s="395"/>
      <c r="KT17" s="395"/>
      <c r="KU17" s="395"/>
      <c r="KV17" s="395"/>
      <c r="KW17" s="395"/>
      <c r="KX17" s="395"/>
      <c r="KY17" s="395"/>
      <c r="KZ17" s="395"/>
      <c r="LA17" s="395"/>
      <c r="LB17" s="395"/>
      <c r="LC17" s="395"/>
      <c r="LD17" s="395"/>
      <c r="LE17" s="395"/>
      <c r="LF17" s="395"/>
      <c r="LG17" s="395"/>
      <c r="LH17" s="395"/>
      <c r="LI17" s="395"/>
      <c r="LJ17" s="395"/>
      <c r="LK17" s="395"/>
      <c r="LL17" s="395"/>
      <c r="LM17" s="395"/>
      <c r="LN17" s="395"/>
      <c r="LO17" s="395"/>
      <c r="LP17" s="395"/>
      <c r="LQ17" s="395"/>
      <c r="LR17" s="395"/>
      <c r="LS17" s="395"/>
      <c r="LT17" s="395"/>
      <c r="LU17" s="395"/>
      <c r="LV17" s="395"/>
      <c r="LW17" s="395"/>
      <c r="LX17" s="395"/>
      <c r="LY17" s="395"/>
      <c r="LZ17" s="395"/>
      <c r="MA17" s="395"/>
      <c r="MB17" s="395"/>
      <c r="MC17" s="395"/>
      <c r="MD17" s="395"/>
      <c r="ME17" s="395"/>
      <c r="MF17" s="395"/>
      <c r="MG17" s="395"/>
      <c r="MH17" s="395"/>
      <c r="MI17" s="395"/>
      <c r="MJ17" s="395"/>
      <c r="MK17" s="395"/>
      <c r="ML17" s="395"/>
      <c r="MM17" s="395"/>
      <c r="MN17" s="395"/>
      <c r="MO17" s="395"/>
      <c r="MP17" s="395"/>
      <c r="MQ17" s="395"/>
      <c r="MR17" s="395"/>
      <c r="MS17" s="395"/>
      <c r="MT17" s="395"/>
      <c r="MU17" s="395"/>
      <c r="MV17" s="395"/>
      <c r="MW17" s="395"/>
      <c r="MX17" s="395"/>
      <c r="MY17" s="395"/>
      <c r="MZ17" s="395"/>
      <c r="NA17" s="395"/>
      <c r="NB17" s="395"/>
      <c r="NC17" s="395"/>
      <c r="ND17" s="395"/>
      <c r="NE17" s="395"/>
      <c r="NF17" s="395"/>
      <c r="NG17" s="395"/>
      <c r="NH17" s="395"/>
      <c r="NI17" s="395"/>
      <c r="NJ17" s="395"/>
      <c r="NK17" s="395"/>
      <c r="NL17" s="395"/>
      <c r="NM17" s="395"/>
      <c r="NN17" s="395"/>
      <c r="NO17" s="395"/>
      <c r="NP17" s="395"/>
      <c r="NQ17" s="395"/>
      <c r="NR17" s="395"/>
      <c r="NS17" s="395"/>
      <c r="NT17" s="395"/>
      <c r="NU17" s="395"/>
      <c r="NV17" s="395"/>
      <c r="NW17" s="395"/>
      <c r="NX17" s="395"/>
      <c r="NY17" s="395"/>
      <c r="NZ17" s="395"/>
      <c r="OA17" s="395"/>
      <c r="OB17" s="395"/>
      <c r="OC17" s="395"/>
      <c r="OD17" s="395"/>
      <c r="OE17" s="395"/>
      <c r="OF17" s="395"/>
      <c r="OG17" s="395"/>
      <c r="OH17" s="395"/>
      <c r="OI17" s="395"/>
      <c r="OJ17" s="395"/>
      <c r="OK17" s="395"/>
      <c r="OL17" s="395"/>
      <c r="OM17" s="395"/>
      <c r="ON17" s="395"/>
      <c r="OO17" s="395"/>
      <c r="OP17" s="395"/>
      <c r="OQ17" s="395"/>
      <c r="OR17" s="395"/>
      <c r="OS17" s="395"/>
      <c r="OT17" s="395"/>
      <c r="OU17" s="395"/>
      <c r="OV17" s="395"/>
      <c r="OW17" s="395"/>
      <c r="OX17" s="395"/>
      <c r="OY17" s="395"/>
      <c r="OZ17" s="395"/>
      <c r="PA17" s="395"/>
      <c r="PB17" s="395"/>
      <c r="PC17" s="395"/>
      <c r="PD17" s="395"/>
      <c r="PE17" s="395"/>
      <c r="PF17" s="395"/>
      <c r="PG17" s="395"/>
      <c r="PH17" s="395"/>
      <c r="PI17" s="395"/>
      <c r="PJ17" s="395"/>
      <c r="PK17" s="395"/>
      <c r="PL17" s="395"/>
      <c r="PM17" s="395"/>
      <c r="PN17" s="395"/>
      <c r="PO17" s="395"/>
      <c r="PP17" s="395"/>
      <c r="PQ17" s="395"/>
      <c r="PR17" s="395"/>
      <c r="PS17" s="395"/>
      <c r="PT17" s="395"/>
      <c r="PU17" s="395"/>
      <c r="PV17" s="395"/>
      <c r="PW17" s="395"/>
      <c r="PX17" s="395"/>
      <c r="PY17" s="395"/>
      <c r="PZ17" s="395"/>
      <c r="QA17" s="395"/>
      <c r="QB17" s="395"/>
      <c r="QC17" s="395"/>
      <c r="QD17" s="395"/>
      <c r="QE17" s="395"/>
      <c r="QF17" s="395"/>
      <c r="QG17" s="395"/>
      <c r="QH17" s="395"/>
      <c r="QI17" s="395"/>
      <c r="QJ17" s="395"/>
      <c r="QK17" s="395"/>
      <c r="QL17" s="395"/>
      <c r="QM17" s="395"/>
      <c r="QN17" s="395"/>
      <c r="QO17" s="395"/>
      <c r="QP17" s="395"/>
      <c r="QQ17" s="395"/>
      <c r="QR17" s="395"/>
      <c r="QS17" s="395"/>
      <c r="QT17" s="395"/>
      <c r="QU17" s="395"/>
      <c r="QV17" s="395"/>
      <c r="QW17" s="395"/>
      <c r="QX17" s="395"/>
      <c r="QY17" s="395"/>
      <c r="QZ17" s="395"/>
      <c r="RA17" s="395"/>
      <c r="RB17" s="395"/>
      <c r="RC17" s="395"/>
      <c r="RD17" s="395"/>
      <c r="RE17" s="395"/>
      <c r="RF17" s="395"/>
      <c r="RG17" s="395"/>
      <c r="RH17" s="395"/>
      <c r="RI17" s="395"/>
      <c r="RJ17" s="395"/>
      <c r="RK17" s="395"/>
      <c r="RL17" s="395"/>
      <c r="RM17" s="395"/>
      <c r="RN17" s="395"/>
      <c r="RO17" s="395"/>
      <c r="RP17" s="395"/>
      <c r="RQ17" s="395"/>
      <c r="RR17" s="395"/>
      <c r="RS17" s="395"/>
      <c r="RT17" s="395"/>
      <c r="RU17" s="395"/>
      <c r="RV17" s="395"/>
      <c r="RW17" s="395"/>
      <c r="RX17" s="395"/>
      <c r="RY17" s="395"/>
      <c r="RZ17" s="395"/>
      <c r="SA17" s="395"/>
      <c r="SB17" s="395"/>
      <c r="SC17" s="395"/>
      <c r="SD17" s="395"/>
      <c r="SE17" s="395"/>
      <c r="SF17" s="395"/>
      <c r="SG17" s="395"/>
      <c r="SH17" s="395"/>
      <c r="SI17" s="395"/>
      <c r="SJ17" s="395"/>
      <c r="SK17" s="395"/>
      <c r="SL17" s="395"/>
      <c r="SM17" s="395"/>
      <c r="SN17" s="395"/>
      <c r="SO17" s="395"/>
      <c r="SP17" s="395"/>
      <c r="SQ17" s="395"/>
      <c r="SR17" s="395"/>
      <c r="SS17" s="395"/>
      <c r="ST17" s="395"/>
      <c r="SU17" s="395"/>
      <c r="SV17" s="395"/>
      <c r="SW17" s="395"/>
      <c r="SX17" s="395"/>
      <c r="SY17" s="395"/>
      <c r="SZ17" s="395"/>
      <c r="TA17" s="395"/>
      <c r="TB17" s="395"/>
      <c r="TC17" s="395"/>
      <c r="TD17" s="395"/>
      <c r="TE17" s="395"/>
      <c r="TF17" s="395"/>
      <c r="TG17" s="395"/>
      <c r="TH17" s="395"/>
      <c r="TI17" s="395"/>
      <c r="TJ17" s="395"/>
      <c r="TK17" s="395"/>
      <c r="TL17" s="395"/>
      <c r="TM17" s="395"/>
      <c r="TN17" s="395"/>
      <c r="TO17" s="395"/>
      <c r="TP17" s="395"/>
      <c r="TQ17" s="395"/>
      <c r="TR17" s="395"/>
      <c r="TS17" s="395"/>
      <c r="TT17" s="395"/>
      <c r="TU17" s="395"/>
      <c r="TV17" s="395"/>
      <c r="TW17" s="395"/>
      <c r="TX17" s="395"/>
      <c r="TY17" s="395"/>
      <c r="TZ17" s="395"/>
      <c r="UA17" s="395"/>
      <c r="UB17" s="395"/>
      <c r="UC17" s="395"/>
      <c r="UD17" s="395"/>
      <c r="UE17" s="395"/>
      <c r="UF17" s="395"/>
      <c r="UG17" s="395"/>
      <c r="UH17" s="395"/>
      <c r="UI17" s="395"/>
      <c r="UJ17" s="395"/>
      <c r="UK17" s="395"/>
      <c r="UL17" s="395"/>
      <c r="UM17" s="395"/>
      <c r="UN17" s="395"/>
      <c r="UO17" s="395"/>
    </row>
    <row r="18" spans="1:561" s="289" customFormat="1" ht="16.5" customHeight="1" x14ac:dyDescent="0.2">
      <c r="A18" s="522" t="s">
        <v>9</v>
      </c>
      <c r="B18" s="79">
        <f>طابوق!K20+بلوك!I20+حجر!G21+رمل!G21+حصى!G22+سمنت!I20+جص!G21+كاشي2!G20+حديد!F20+ابواب!K20+شبابيك!I20+ت.كهربائيه2!G20+ت.صحيه3!H20+'الكلفه الكليه'!I20</f>
        <v>10318843</v>
      </c>
      <c r="C18" s="79">
        <v>9017817</v>
      </c>
      <c r="D18" s="79">
        <f t="shared" si="0"/>
        <v>19336660</v>
      </c>
      <c r="E18" s="493" t="s">
        <v>19</v>
      </c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  <c r="IX18" s="395"/>
      <c r="IY18" s="395"/>
      <c r="IZ18" s="395"/>
      <c r="JA18" s="395"/>
      <c r="JB18" s="395"/>
      <c r="JC18" s="395"/>
      <c r="JD18" s="395"/>
      <c r="JE18" s="395"/>
      <c r="JF18" s="395"/>
      <c r="JG18" s="395"/>
      <c r="JH18" s="395"/>
      <c r="JI18" s="395"/>
      <c r="JJ18" s="395"/>
      <c r="JK18" s="395"/>
      <c r="JL18" s="395"/>
      <c r="JM18" s="395"/>
      <c r="JN18" s="395"/>
      <c r="JO18" s="395"/>
      <c r="JP18" s="395"/>
      <c r="JQ18" s="395"/>
      <c r="JR18" s="395"/>
      <c r="JS18" s="395"/>
      <c r="JT18" s="395"/>
      <c r="JU18" s="395"/>
      <c r="JV18" s="395"/>
      <c r="JW18" s="395"/>
      <c r="JX18" s="395"/>
      <c r="JY18" s="395"/>
      <c r="JZ18" s="395"/>
      <c r="KA18" s="395"/>
      <c r="KB18" s="395"/>
      <c r="KC18" s="395"/>
      <c r="KD18" s="395"/>
      <c r="KE18" s="395"/>
      <c r="KF18" s="395"/>
      <c r="KG18" s="395"/>
      <c r="KH18" s="395"/>
      <c r="KI18" s="395"/>
      <c r="KJ18" s="395"/>
      <c r="KK18" s="395"/>
      <c r="KL18" s="395"/>
      <c r="KM18" s="395"/>
      <c r="KN18" s="395"/>
      <c r="KO18" s="395"/>
      <c r="KP18" s="395"/>
      <c r="KQ18" s="395"/>
      <c r="KR18" s="395"/>
      <c r="KS18" s="395"/>
      <c r="KT18" s="395"/>
      <c r="KU18" s="395"/>
      <c r="KV18" s="395"/>
      <c r="KW18" s="395"/>
      <c r="KX18" s="395"/>
      <c r="KY18" s="395"/>
      <c r="KZ18" s="395"/>
      <c r="LA18" s="395"/>
      <c r="LB18" s="395"/>
      <c r="LC18" s="395"/>
      <c r="LD18" s="395"/>
      <c r="LE18" s="395"/>
      <c r="LF18" s="395"/>
      <c r="LG18" s="395"/>
      <c r="LH18" s="395"/>
      <c r="LI18" s="395"/>
      <c r="LJ18" s="395"/>
      <c r="LK18" s="395"/>
      <c r="LL18" s="395"/>
      <c r="LM18" s="395"/>
      <c r="LN18" s="395"/>
      <c r="LO18" s="395"/>
      <c r="LP18" s="395"/>
      <c r="LQ18" s="395"/>
      <c r="LR18" s="395"/>
      <c r="LS18" s="395"/>
      <c r="LT18" s="395"/>
      <c r="LU18" s="395"/>
      <c r="LV18" s="395"/>
      <c r="LW18" s="395"/>
      <c r="LX18" s="395"/>
      <c r="LY18" s="395"/>
      <c r="LZ18" s="395"/>
      <c r="MA18" s="395"/>
      <c r="MB18" s="395"/>
      <c r="MC18" s="395"/>
      <c r="MD18" s="395"/>
      <c r="ME18" s="395"/>
      <c r="MF18" s="395"/>
      <c r="MG18" s="395"/>
      <c r="MH18" s="395"/>
      <c r="MI18" s="395"/>
      <c r="MJ18" s="395"/>
      <c r="MK18" s="395"/>
      <c r="ML18" s="395"/>
      <c r="MM18" s="395"/>
      <c r="MN18" s="395"/>
      <c r="MO18" s="395"/>
      <c r="MP18" s="395"/>
      <c r="MQ18" s="395"/>
      <c r="MR18" s="395"/>
      <c r="MS18" s="395"/>
      <c r="MT18" s="395"/>
      <c r="MU18" s="395"/>
      <c r="MV18" s="395"/>
      <c r="MW18" s="395"/>
      <c r="MX18" s="395"/>
      <c r="MY18" s="395"/>
      <c r="MZ18" s="395"/>
      <c r="NA18" s="395"/>
      <c r="NB18" s="395"/>
      <c r="NC18" s="395"/>
      <c r="ND18" s="395"/>
      <c r="NE18" s="395"/>
      <c r="NF18" s="395"/>
      <c r="NG18" s="395"/>
      <c r="NH18" s="395"/>
      <c r="NI18" s="395"/>
      <c r="NJ18" s="395"/>
      <c r="NK18" s="395"/>
      <c r="NL18" s="395"/>
      <c r="NM18" s="395"/>
      <c r="NN18" s="395"/>
      <c r="NO18" s="395"/>
      <c r="NP18" s="395"/>
      <c r="NQ18" s="395"/>
      <c r="NR18" s="395"/>
      <c r="NS18" s="395"/>
      <c r="NT18" s="395"/>
      <c r="NU18" s="395"/>
      <c r="NV18" s="395"/>
      <c r="NW18" s="395"/>
      <c r="NX18" s="395"/>
      <c r="NY18" s="395"/>
      <c r="NZ18" s="395"/>
      <c r="OA18" s="395"/>
      <c r="OB18" s="395"/>
      <c r="OC18" s="395"/>
      <c r="OD18" s="395"/>
      <c r="OE18" s="395"/>
      <c r="OF18" s="395"/>
      <c r="OG18" s="395"/>
      <c r="OH18" s="395"/>
      <c r="OI18" s="395"/>
      <c r="OJ18" s="395"/>
      <c r="OK18" s="395"/>
      <c r="OL18" s="395"/>
      <c r="OM18" s="395"/>
      <c r="ON18" s="395"/>
      <c r="OO18" s="395"/>
      <c r="OP18" s="395"/>
      <c r="OQ18" s="395"/>
      <c r="OR18" s="395"/>
      <c r="OS18" s="395"/>
      <c r="OT18" s="395"/>
      <c r="OU18" s="395"/>
      <c r="OV18" s="395"/>
      <c r="OW18" s="395"/>
      <c r="OX18" s="395"/>
      <c r="OY18" s="395"/>
      <c r="OZ18" s="395"/>
      <c r="PA18" s="395"/>
      <c r="PB18" s="395"/>
      <c r="PC18" s="395"/>
      <c r="PD18" s="395"/>
      <c r="PE18" s="395"/>
      <c r="PF18" s="395"/>
      <c r="PG18" s="395"/>
      <c r="PH18" s="395"/>
      <c r="PI18" s="395"/>
      <c r="PJ18" s="395"/>
      <c r="PK18" s="395"/>
      <c r="PL18" s="395"/>
      <c r="PM18" s="395"/>
      <c r="PN18" s="395"/>
      <c r="PO18" s="395"/>
      <c r="PP18" s="395"/>
      <c r="PQ18" s="395"/>
      <c r="PR18" s="395"/>
      <c r="PS18" s="395"/>
      <c r="PT18" s="395"/>
      <c r="PU18" s="395"/>
      <c r="PV18" s="395"/>
      <c r="PW18" s="395"/>
      <c r="PX18" s="395"/>
      <c r="PY18" s="395"/>
      <c r="PZ18" s="395"/>
      <c r="QA18" s="395"/>
      <c r="QB18" s="395"/>
      <c r="QC18" s="395"/>
      <c r="QD18" s="395"/>
      <c r="QE18" s="395"/>
      <c r="QF18" s="395"/>
      <c r="QG18" s="395"/>
      <c r="QH18" s="395"/>
      <c r="QI18" s="395"/>
      <c r="QJ18" s="395"/>
      <c r="QK18" s="395"/>
      <c r="QL18" s="395"/>
      <c r="QM18" s="395"/>
      <c r="QN18" s="395"/>
      <c r="QO18" s="395"/>
      <c r="QP18" s="395"/>
      <c r="QQ18" s="395"/>
      <c r="QR18" s="395"/>
      <c r="QS18" s="395"/>
      <c r="QT18" s="395"/>
      <c r="QU18" s="395"/>
      <c r="QV18" s="395"/>
      <c r="QW18" s="395"/>
      <c r="QX18" s="395"/>
      <c r="QY18" s="395"/>
      <c r="QZ18" s="395"/>
      <c r="RA18" s="395"/>
      <c r="RB18" s="395"/>
      <c r="RC18" s="395"/>
      <c r="RD18" s="395"/>
      <c r="RE18" s="395"/>
      <c r="RF18" s="395"/>
      <c r="RG18" s="395"/>
      <c r="RH18" s="395"/>
      <c r="RI18" s="395"/>
      <c r="RJ18" s="395"/>
      <c r="RK18" s="395"/>
      <c r="RL18" s="395"/>
      <c r="RM18" s="395"/>
      <c r="RN18" s="395"/>
      <c r="RO18" s="395"/>
      <c r="RP18" s="395"/>
      <c r="RQ18" s="395"/>
      <c r="RR18" s="395"/>
      <c r="RS18" s="395"/>
      <c r="RT18" s="395"/>
      <c r="RU18" s="395"/>
      <c r="RV18" s="395"/>
      <c r="RW18" s="395"/>
      <c r="RX18" s="395"/>
      <c r="RY18" s="395"/>
      <c r="RZ18" s="395"/>
      <c r="SA18" s="395"/>
      <c r="SB18" s="395"/>
      <c r="SC18" s="395"/>
      <c r="SD18" s="395"/>
      <c r="SE18" s="395"/>
      <c r="SF18" s="395"/>
      <c r="SG18" s="395"/>
      <c r="SH18" s="395"/>
      <c r="SI18" s="395"/>
      <c r="SJ18" s="395"/>
      <c r="SK18" s="395"/>
      <c r="SL18" s="395"/>
      <c r="SM18" s="395"/>
      <c r="SN18" s="395"/>
      <c r="SO18" s="395"/>
      <c r="SP18" s="395"/>
      <c r="SQ18" s="395"/>
      <c r="SR18" s="395"/>
      <c r="SS18" s="395"/>
      <c r="ST18" s="395"/>
      <c r="SU18" s="395"/>
      <c r="SV18" s="395"/>
      <c r="SW18" s="395"/>
      <c r="SX18" s="395"/>
      <c r="SY18" s="395"/>
      <c r="SZ18" s="395"/>
      <c r="TA18" s="395"/>
      <c r="TB18" s="395"/>
      <c r="TC18" s="395"/>
      <c r="TD18" s="395"/>
      <c r="TE18" s="395"/>
      <c r="TF18" s="395"/>
      <c r="TG18" s="395"/>
      <c r="TH18" s="395"/>
      <c r="TI18" s="395"/>
      <c r="TJ18" s="395"/>
      <c r="TK18" s="395"/>
      <c r="TL18" s="395"/>
      <c r="TM18" s="395"/>
      <c r="TN18" s="395"/>
      <c r="TO18" s="395"/>
      <c r="TP18" s="395"/>
      <c r="TQ18" s="395"/>
      <c r="TR18" s="395"/>
      <c r="TS18" s="395"/>
      <c r="TT18" s="395"/>
      <c r="TU18" s="395"/>
      <c r="TV18" s="395"/>
      <c r="TW18" s="395"/>
      <c r="TX18" s="395"/>
      <c r="TY18" s="395"/>
      <c r="TZ18" s="395"/>
      <c r="UA18" s="395"/>
      <c r="UB18" s="395"/>
      <c r="UC18" s="395"/>
      <c r="UD18" s="395"/>
      <c r="UE18" s="395"/>
      <c r="UF18" s="395"/>
      <c r="UG18" s="395"/>
      <c r="UH18" s="395"/>
      <c r="UI18" s="395"/>
      <c r="UJ18" s="395"/>
      <c r="UK18" s="395"/>
      <c r="UL18" s="395"/>
      <c r="UM18" s="395"/>
      <c r="UN18" s="395"/>
      <c r="UO18" s="395"/>
    </row>
    <row r="19" spans="1:561" s="289" customFormat="1" ht="16.5" customHeight="1" x14ac:dyDescent="0.2">
      <c r="A19" s="742" t="s">
        <v>10</v>
      </c>
      <c r="B19" s="482">
        <f>طابوق!K21+بلوك!I21+حجر!G22+رمل!G22+حصى!G23+سمنت!I21+جص!G22+كاشي2!G21+حديد!F21+ابواب!K21+شبابيك!I21+ت.كهربائيه2!G21+ت.صحيه3!H21+'الكلفه الكليه'!I21</f>
        <v>16343416</v>
      </c>
      <c r="C19" s="482">
        <v>15366120</v>
      </c>
      <c r="D19" s="482">
        <f t="shared" si="0"/>
        <v>31709536</v>
      </c>
      <c r="E19" s="743" t="s">
        <v>20</v>
      </c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  <c r="IX19" s="395"/>
      <c r="IY19" s="395"/>
      <c r="IZ19" s="395"/>
      <c r="JA19" s="395"/>
      <c r="JB19" s="395"/>
      <c r="JC19" s="395"/>
      <c r="JD19" s="395"/>
      <c r="JE19" s="395"/>
      <c r="JF19" s="395"/>
      <c r="JG19" s="395"/>
      <c r="JH19" s="395"/>
      <c r="JI19" s="395"/>
      <c r="JJ19" s="395"/>
      <c r="JK19" s="395"/>
      <c r="JL19" s="395"/>
      <c r="JM19" s="395"/>
      <c r="JN19" s="395"/>
      <c r="JO19" s="395"/>
      <c r="JP19" s="395"/>
      <c r="JQ19" s="395"/>
      <c r="JR19" s="395"/>
      <c r="JS19" s="395"/>
      <c r="JT19" s="395"/>
      <c r="JU19" s="395"/>
      <c r="JV19" s="395"/>
      <c r="JW19" s="395"/>
      <c r="JX19" s="395"/>
      <c r="JY19" s="395"/>
      <c r="JZ19" s="395"/>
      <c r="KA19" s="395"/>
      <c r="KB19" s="395"/>
      <c r="KC19" s="395"/>
      <c r="KD19" s="395"/>
      <c r="KE19" s="395"/>
      <c r="KF19" s="395"/>
      <c r="KG19" s="395"/>
      <c r="KH19" s="395"/>
      <c r="KI19" s="395"/>
      <c r="KJ19" s="395"/>
      <c r="KK19" s="395"/>
      <c r="KL19" s="395"/>
      <c r="KM19" s="395"/>
      <c r="KN19" s="395"/>
      <c r="KO19" s="395"/>
      <c r="KP19" s="395"/>
      <c r="KQ19" s="395"/>
      <c r="KR19" s="395"/>
      <c r="KS19" s="395"/>
      <c r="KT19" s="395"/>
      <c r="KU19" s="395"/>
      <c r="KV19" s="395"/>
      <c r="KW19" s="395"/>
      <c r="KX19" s="395"/>
      <c r="KY19" s="395"/>
      <c r="KZ19" s="395"/>
      <c r="LA19" s="395"/>
      <c r="LB19" s="395"/>
      <c r="LC19" s="395"/>
      <c r="LD19" s="395"/>
      <c r="LE19" s="395"/>
      <c r="LF19" s="395"/>
      <c r="LG19" s="395"/>
      <c r="LH19" s="395"/>
      <c r="LI19" s="395"/>
      <c r="LJ19" s="395"/>
      <c r="LK19" s="395"/>
      <c r="LL19" s="395"/>
      <c r="LM19" s="395"/>
      <c r="LN19" s="395"/>
      <c r="LO19" s="395"/>
      <c r="LP19" s="395"/>
      <c r="LQ19" s="395"/>
      <c r="LR19" s="395"/>
      <c r="LS19" s="395"/>
      <c r="LT19" s="395"/>
      <c r="LU19" s="395"/>
      <c r="LV19" s="395"/>
      <c r="LW19" s="395"/>
      <c r="LX19" s="395"/>
      <c r="LY19" s="395"/>
      <c r="LZ19" s="395"/>
      <c r="MA19" s="395"/>
      <c r="MB19" s="395"/>
      <c r="MC19" s="395"/>
      <c r="MD19" s="395"/>
      <c r="ME19" s="395"/>
      <c r="MF19" s="395"/>
      <c r="MG19" s="395"/>
      <c r="MH19" s="395"/>
      <c r="MI19" s="395"/>
      <c r="MJ19" s="395"/>
      <c r="MK19" s="395"/>
      <c r="ML19" s="395"/>
      <c r="MM19" s="395"/>
      <c r="MN19" s="395"/>
      <c r="MO19" s="395"/>
      <c r="MP19" s="395"/>
      <c r="MQ19" s="395"/>
      <c r="MR19" s="395"/>
      <c r="MS19" s="395"/>
      <c r="MT19" s="395"/>
      <c r="MU19" s="395"/>
      <c r="MV19" s="395"/>
      <c r="MW19" s="395"/>
      <c r="MX19" s="395"/>
      <c r="MY19" s="395"/>
      <c r="MZ19" s="395"/>
      <c r="NA19" s="395"/>
      <c r="NB19" s="395"/>
      <c r="NC19" s="395"/>
      <c r="ND19" s="395"/>
      <c r="NE19" s="395"/>
      <c r="NF19" s="395"/>
      <c r="NG19" s="395"/>
      <c r="NH19" s="395"/>
      <c r="NI19" s="395"/>
      <c r="NJ19" s="395"/>
      <c r="NK19" s="395"/>
      <c r="NL19" s="395"/>
      <c r="NM19" s="395"/>
      <c r="NN19" s="395"/>
      <c r="NO19" s="395"/>
      <c r="NP19" s="395"/>
      <c r="NQ19" s="395"/>
      <c r="NR19" s="395"/>
      <c r="NS19" s="395"/>
      <c r="NT19" s="395"/>
      <c r="NU19" s="395"/>
      <c r="NV19" s="395"/>
      <c r="NW19" s="395"/>
      <c r="NX19" s="395"/>
      <c r="NY19" s="395"/>
      <c r="NZ19" s="395"/>
      <c r="OA19" s="395"/>
      <c r="OB19" s="395"/>
      <c r="OC19" s="395"/>
      <c r="OD19" s="395"/>
      <c r="OE19" s="395"/>
      <c r="OF19" s="395"/>
      <c r="OG19" s="395"/>
      <c r="OH19" s="395"/>
      <c r="OI19" s="395"/>
      <c r="OJ19" s="395"/>
      <c r="OK19" s="395"/>
      <c r="OL19" s="395"/>
      <c r="OM19" s="395"/>
      <c r="ON19" s="395"/>
      <c r="OO19" s="395"/>
      <c r="OP19" s="395"/>
      <c r="OQ19" s="395"/>
      <c r="OR19" s="395"/>
      <c r="OS19" s="395"/>
      <c r="OT19" s="395"/>
      <c r="OU19" s="395"/>
      <c r="OV19" s="395"/>
      <c r="OW19" s="395"/>
      <c r="OX19" s="395"/>
      <c r="OY19" s="395"/>
      <c r="OZ19" s="395"/>
      <c r="PA19" s="395"/>
      <c r="PB19" s="395"/>
      <c r="PC19" s="395"/>
      <c r="PD19" s="395"/>
      <c r="PE19" s="395"/>
      <c r="PF19" s="395"/>
      <c r="PG19" s="395"/>
      <c r="PH19" s="395"/>
      <c r="PI19" s="395"/>
      <c r="PJ19" s="395"/>
      <c r="PK19" s="395"/>
      <c r="PL19" s="395"/>
      <c r="PM19" s="395"/>
      <c r="PN19" s="395"/>
      <c r="PO19" s="395"/>
      <c r="PP19" s="395"/>
      <c r="PQ19" s="395"/>
      <c r="PR19" s="395"/>
      <c r="PS19" s="395"/>
      <c r="PT19" s="395"/>
      <c r="PU19" s="395"/>
      <c r="PV19" s="395"/>
      <c r="PW19" s="395"/>
      <c r="PX19" s="395"/>
      <c r="PY19" s="395"/>
      <c r="PZ19" s="395"/>
      <c r="QA19" s="395"/>
      <c r="QB19" s="395"/>
      <c r="QC19" s="395"/>
      <c r="QD19" s="395"/>
      <c r="QE19" s="395"/>
      <c r="QF19" s="395"/>
      <c r="QG19" s="395"/>
      <c r="QH19" s="395"/>
      <c r="QI19" s="395"/>
      <c r="QJ19" s="395"/>
      <c r="QK19" s="395"/>
      <c r="QL19" s="395"/>
      <c r="QM19" s="395"/>
      <c r="QN19" s="395"/>
      <c r="QO19" s="395"/>
      <c r="QP19" s="395"/>
      <c r="QQ19" s="395"/>
      <c r="QR19" s="395"/>
      <c r="QS19" s="395"/>
      <c r="QT19" s="395"/>
      <c r="QU19" s="395"/>
      <c r="QV19" s="395"/>
      <c r="QW19" s="395"/>
      <c r="QX19" s="395"/>
      <c r="QY19" s="395"/>
      <c r="QZ19" s="395"/>
      <c r="RA19" s="395"/>
      <c r="RB19" s="395"/>
      <c r="RC19" s="395"/>
      <c r="RD19" s="395"/>
      <c r="RE19" s="395"/>
      <c r="RF19" s="395"/>
      <c r="RG19" s="395"/>
      <c r="RH19" s="395"/>
      <c r="RI19" s="395"/>
      <c r="RJ19" s="395"/>
      <c r="RK19" s="395"/>
      <c r="RL19" s="395"/>
      <c r="RM19" s="395"/>
      <c r="RN19" s="395"/>
      <c r="RO19" s="395"/>
      <c r="RP19" s="395"/>
      <c r="RQ19" s="395"/>
      <c r="RR19" s="395"/>
      <c r="RS19" s="395"/>
      <c r="RT19" s="395"/>
      <c r="RU19" s="395"/>
      <c r="RV19" s="395"/>
      <c r="RW19" s="395"/>
      <c r="RX19" s="395"/>
      <c r="RY19" s="395"/>
      <c r="RZ19" s="395"/>
      <c r="SA19" s="395"/>
      <c r="SB19" s="395"/>
      <c r="SC19" s="395"/>
      <c r="SD19" s="395"/>
      <c r="SE19" s="395"/>
      <c r="SF19" s="395"/>
      <c r="SG19" s="395"/>
      <c r="SH19" s="395"/>
      <c r="SI19" s="395"/>
      <c r="SJ19" s="395"/>
      <c r="SK19" s="395"/>
      <c r="SL19" s="395"/>
      <c r="SM19" s="395"/>
      <c r="SN19" s="395"/>
      <c r="SO19" s="395"/>
      <c r="SP19" s="395"/>
      <c r="SQ19" s="395"/>
      <c r="SR19" s="395"/>
      <c r="SS19" s="395"/>
      <c r="ST19" s="395"/>
      <c r="SU19" s="395"/>
      <c r="SV19" s="395"/>
      <c r="SW19" s="395"/>
      <c r="SX19" s="395"/>
      <c r="SY19" s="395"/>
      <c r="SZ19" s="395"/>
      <c r="TA19" s="395"/>
      <c r="TB19" s="395"/>
      <c r="TC19" s="395"/>
      <c r="TD19" s="395"/>
      <c r="TE19" s="395"/>
      <c r="TF19" s="395"/>
      <c r="TG19" s="395"/>
      <c r="TH19" s="395"/>
      <c r="TI19" s="395"/>
      <c r="TJ19" s="395"/>
      <c r="TK19" s="395"/>
      <c r="TL19" s="395"/>
      <c r="TM19" s="395"/>
      <c r="TN19" s="395"/>
      <c r="TO19" s="395"/>
      <c r="TP19" s="395"/>
      <c r="TQ19" s="395"/>
      <c r="TR19" s="395"/>
      <c r="TS19" s="395"/>
      <c r="TT19" s="395"/>
      <c r="TU19" s="395"/>
      <c r="TV19" s="395"/>
      <c r="TW19" s="395"/>
      <c r="TX19" s="395"/>
      <c r="TY19" s="395"/>
      <c r="TZ19" s="395"/>
      <c r="UA19" s="395"/>
      <c r="UB19" s="395"/>
      <c r="UC19" s="395"/>
      <c r="UD19" s="395"/>
      <c r="UE19" s="395"/>
      <c r="UF19" s="395"/>
      <c r="UG19" s="395"/>
      <c r="UH19" s="395"/>
      <c r="UI19" s="395"/>
      <c r="UJ19" s="395"/>
      <c r="UK19" s="395"/>
      <c r="UL19" s="395"/>
      <c r="UM19" s="395"/>
      <c r="UN19" s="395"/>
      <c r="UO19" s="395"/>
    </row>
    <row r="20" spans="1:561" s="289" customFormat="1" ht="15" customHeight="1" x14ac:dyDescent="0.2">
      <c r="A20" s="522" t="s">
        <v>12</v>
      </c>
      <c r="B20" s="79">
        <f>طابوق!K22+بلوك!I22+حجر!G23+رمل!G23+حصى!G24+سمنت!I22+جص!G23+كاشي2!G22+حديد!F22+ابواب!K22+شبابيك!I22+ت.كهربائيه2!G22+ت.صحيه3!H22+'الكلفه الكليه'!I22</f>
        <v>3322960</v>
      </c>
      <c r="C20" s="79">
        <v>2170544</v>
      </c>
      <c r="D20" s="79">
        <f t="shared" si="0"/>
        <v>5493504</v>
      </c>
      <c r="E20" s="493" t="s">
        <v>25</v>
      </c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  <c r="IX20" s="395"/>
      <c r="IY20" s="395"/>
      <c r="IZ20" s="395"/>
      <c r="JA20" s="395"/>
      <c r="JB20" s="395"/>
      <c r="JC20" s="395"/>
      <c r="JD20" s="395"/>
      <c r="JE20" s="395"/>
      <c r="JF20" s="395"/>
      <c r="JG20" s="395"/>
      <c r="JH20" s="395"/>
      <c r="JI20" s="395"/>
      <c r="JJ20" s="395"/>
      <c r="JK20" s="395"/>
      <c r="JL20" s="395"/>
      <c r="JM20" s="395"/>
      <c r="JN20" s="395"/>
      <c r="JO20" s="395"/>
      <c r="JP20" s="395"/>
      <c r="JQ20" s="395"/>
      <c r="JR20" s="395"/>
      <c r="JS20" s="395"/>
      <c r="JT20" s="395"/>
      <c r="JU20" s="395"/>
      <c r="JV20" s="395"/>
      <c r="JW20" s="395"/>
      <c r="JX20" s="395"/>
      <c r="JY20" s="395"/>
      <c r="JZ20" s="395"/>
      <c r="KA20" s="395"/>
      <c r="KB20" s="395"/>
      <c r="KC20" s="395"/>
      <c r="KD20" s="395"/>
      <c r="KE20" s="395"/>
      <c r="KF20" s="395"/>
      <c r="KG20" s="395"/>
      <c r="KH20" s="395"/>
      <c r="KI20" s="395"/>
      <c r="KJ20" s="395"/>
      <c r="KK20" s="395"/>
      <c r="KL20" s="395"/>
      <c r="KM20" s="395"/>
      <c r="KN20" s="395"/>
      <c r="KO20" s="395"/>
      <c r="KP20" s="395"/>
      <c r="KQ20" s="395"/>
      <c r="KR20" s="395"/>
      <c r="KS20" s="395"/>
      <c r="KT20" s="395"/>
      <c r="KU20" s="395"/>
      <c r="KV20" s="395"/>
      <c r="KW20" s="395"/>
      <c r="KX20" s="395"/>
      <c r="KY20" s="395"/>
      <c r="KZ20" s="395"/>
      <c r="LA20" s="395"/>
      <c r="LB20" s="395"/>
      <c r="LC20" s="395"/>
      <c r="LD20" s="395"/>
      <c r="LE20" s="395"/>
      <c r="LF20" s="395"/>
      <c r="LG20" s="395"/>
      <c r="LH20" s="395"/>
      <c r="LI20" s="395"/>
      <c r="LJ20" s="395"/>
      <c r="LK20" s="395"/>
      <c r="LL20" s="395"/>
      <c r="LM20" s="395"/>
      <c r="LN20" s="395"/>
      <c r="LO20" s="395"/>
      <c r="LP20" s="395"/>
      <c r="LQ20" s="395"/>
      <c r="LR20" s="395"/>
      <c r="LS20" s="395"/>
      <c r="LT20" s="395"/>
      <c r="LU20" s="395"/>
      <c r="LV20" s="395"/>
      <c r="LW20" s="395"/>
      <c r="LX20" s="395"/>
      <c r="LY20" s="395"/>
      <c r="LZ20" s="395"/>
      <c r="MA20" s="395"/>
      <c r="MB20" s="395"/>
      <c r="MC20" s="395"/>
      <c r="MD20" s="395"/>
      <c r="ME20" s="395"/>
      <c r="MF20" s="395"/>
      <c r="MG20" s="395"/>
      <c r="MH20" s="395"/>
      <c r="MI20" s="395"/>
      <c r="MJ20" s="395"/>
      <c r="MK20" s="395"/>
      <c r="ML20" s="395"/>
      <c r="MM20" s="395"/>
      <c r="MN20" s="395"/>
      <c r="MO20" s="395"/>
      <c r="MP20" s="395"/>
      <c r="MQ20" s="395"/>
      <c r="MR20" s="395"/>
      <c r="MS20" s="395"/>
      <c r="MT20" s="395"/>
      <c r="MU20" s="395"/>
      <c r="MV20" s="395"/>
      <c r="MW20" s="395"/>
      <c r="MX20" s="395"/>
      <c r="MY20" s="395"/>
      <c r="MZ20" s="395"/>
      <c r="NA20" s="395"/>
      <c r="NB20" s="395"/>
      <c r="NC20" s="395"/>
      <c r="ND20" s="395"/>
      <c r="NE20" s="395"/>
      <c r="NF20" s="395"/>
      <c r="NG20" s="395"/>
      <c r="NH20" s="395"/>
      <c r="NI20" s="395"/>
      <c r="NJ20" s="395"/>
      <c r="NK20" s="395"/>
      <c r="NL20" s="395"/>
      <c r="NM20" s="395"/>
      <c r="NN20" s="395"/>
      <c r="NO20" s="395"/>
      <c r="NP20" s="395"/>
      <c r="NQ20" s="395"/>
      <c r="NR20" s="395"/>
      <c r="NS20" s="395"/>
      <c r="NT20" s="395"/>
      <c r="NU20" s="395"/>
      <c r="NV20" s="395"/>
      <c r="NW20" s="395"/>
      <c r="NX20" s="395"/>
      <c r="NY20" s="395"/>
      <c r="NZ20" s="395"/>
      <c r="OA20" s="395"/>
      <c r="OB20" s="395"/>
      <c r="OC20" s="395"/>
      <c r="OD20" s="395"/>
      <c r="OE20" s="395"/>
      <c r="OF20" s="395"/>
      <c r="OG20" s="395"/>
      <c r="OH20" s="395"/>
      <c r="OI20" s="395"/>
      <c r="OJ20" s="395"/>
      <c r="OK20" s="395"/>
      <c r="OL20" s="395"/>
      <c r="OM20" s="395"/>
      <c r="ON20" s="395"/>
      <c r="OO20" s="395"/>
      <c r="OP20" s="395"/>
      <c r="OQ20" s="395"/>
      <c r="OR20" s="395"/>
      <c r="OS20" s="395"/>
      <c r="OT20" s="395"/>
      <c r="OU20" s="395"/>
      <c r="OV20" s="395"/>
      <c r="OW20" s="395"/>
      <c r="OX20" s="395"/>
      <c r="OY20" s="395"/>
      <c r="OZ20" s="395"/>
      <c r="PA20" s="395"/>
      <c r="PB20" s="395"/>
      <c r="PC20" s="395"/>
      <c r="PD20" s="395"/>
      <c r="PE20" s="395"/>
      <c r="PF20" s="395"/>
      <c r="PG20" s="395"/>
      <c r="PH20" s="395"/>
      <c r="PI20" s="395"/>
      <c r="PJ20" s="395"/>
      <c r="PK20" s="395"/>
      <c r="PL20" s="395"/>
      <c r="PM20" s="395"/>
      <c r="PN20" s="395"/>
      <c r="PO20" s="395"/>
      <c r="PP20" s="395"/>
      <c r="PQ20" s="395"/>
      <c r="PR20" s="395"/>
      <c r="PS20" s="395"/>
      <c r="PT20" s="395"/>
      <c r="PU20" s="395"/>
      <c r="PV20" s="395"/>
      <c r="PW20" s="395"/>
      <c r="PX20" s="395"/>
      <c r="PY20" s="395"/>
      <c r="PZ20" s="395"/>
      <c r="QA20" s="395"/>
      <c r="QB20" s="395"/>
      <c r="QC20" s="395"/>
      <c r="QD20" s="395"/>
      <c r="QE20" s="395"/>
      <c r="QF20" s="395"/>
      <c r="QG20" s="395"/>
      <c r="QH20" s="395"/>
      <c r="QI20" s="395"/>
      <c r="QJ20" s="395"/>
      <c r="QK20" s="395"/>
      <c r="QL20" s="395"/>
      <c r="QM20" s="395"/>
      <c r="QN20" s="395"/>
      <c r="QO20" s="395"/>
      <c r="QP20" s="395"/>
      <c r="QQ20" s="395"/>
      <c r="QR20" s="395"/>
      <c r="QS20" s="395"/>
      <c r="QT20" s="395"/>
      <c r="QU20" s="395"/>
      <c r="QV20" s="395"/>
      <c r="QW20" s="395"/>
      <c r="QX20" s="395"/>
      <c r="QY20" s="395"/>
      <c r="QZ20" s="395"/>
      <c r="RA20" s="395"/>
      <c r="RB20" s="395"/>
      <c r="RC20" s="395"/>
      <c r="RD20" s="395"/>
      <c r="RE20" s="395"/>
      <c r="RF20" s="395"/>
      <c r="RG20" s="395"/>
      <c r="RH20" s="395"/>
      <c r="RI20" s="395"/>
      <c r="RJ20" s="395"/>
      <c r="RK20" s="395"/>
      <c r="RL20" s="395"/>
      <c r="RM20" s="395"/>
      <c r="RN20" s="395"/>
      <c r="RO20" s="395"/>
      <c r="RP20" s="395"/>
      <c r="RQ20" s="395"/>
      <c r="RR20" s="395"/>
      <c r="RS20" s="395"/>
      <c r="RT20" s="395"/>
      <c r="RU20" s="395"/>
      <c r="RV20" s="395"/>
      <c r="RW20" s="395"/>
      <c r="RX20" s="395"/>
      <c r="RY20" s="395"/>
      <c r="RZ20" s="395"/>
      <c r="SA20" s="395"/>
      <c r="SB20" s="395"/>
      <c r="SC20" s="395"/>
      <c r="SD20" s="395"/>
      <c r="SE20" s="395"/>
      <c r="SF20" s="395"/>
      <c r="SG20" s="395"/>
      <c r="SH20" s="395"/>
      <c r="SI20" s="395"/>
      <c r="SJ20" s="395"/>
      <c r="SK20" s="395"/>
      <c r="SL20" s="395"/>
      <c r="SM20" s="395"/>
      <c r="SN20" s="395"/>
      <c r="SO20" s="395"/>
      <c r="SP20" s="395"/>
      <c r="SQ20" s="395"/>
      <c r="SR20" s="395"/>
      <c r="SS20" s="395"/>
      <c r="ST20" s="395"/>
      <c r="SU20" s="395"/>
      <c r="SV20" s="395"/>
      <c r="SW20" s="395"/>
      <c r="SX20" s="395"/>
      <c r="SY20" s="395"/>
      <c r="SZ20" s="395"/>
      <c r="TA20" s="395"/>
      <c r="TB20" s="395"/>
      <c r="TC20" s="395"/>
      <c r="TD20" s="395"/>
      <c r="TE20" s="395"/>
      <c r="TF20" s="395"/>
      <c r="TG20" s="395"/>
      <c r="TH20" s="395"/>
      <c r="TI20" s="395"/>
      <c r="TJ20" s="395"/>
      <c r="TK20" s="395"/>
      <c r="TL20" s="395"/>
      <c r="TM20" s="395"/>
      <c r="TN20" s="395"/>
      <c r="TO20" s="395"/>
      <c r="TP20" s="395"/>
      <c r="TQ20" s="395"/>
      <c r="TR20" s="395"/>
      <c r="TS20" s="395"/>
      <c r="TT20" s="395"/>
      <c r="TU20" s="395"/>
      <c r="TV20" s="395"/>
      <c r="TW20" s="395"/>
      <c r="TX20" s="395"/>
      <c r="TY20" s="395"/>
      <c r="TZ20" s="395"/>
      <c r="UA20" s="395"/>
      <c r="UB20" s="395"/>
      <c r="UC20" s="395"/>
      <c r="UD20" s="395"/>
      <c r="UE20" s="395"/>
      <c r="UF20" s="395"/>
      <c r="UG20" s="395"/>
      <c r="UH20" s="395"/>
      <c r="UI20" s="395"/>
      <c r="UJ20" s="395"/>
      <c r="UK20" s="395"/>
      <c r="UL20" s="395"/>
      <c r="UM20" s="395"/>
      <c r="UN20" s="395"/>
      <c r="UO20" s="395"/>
    </row>
    <row r="21" spans="1:561" s="289" customFormat="1" ht="15" customHeight="1" thickBot="1" x14ac:dyDescent="0.25">
      <c r="A21" s="742" t="s">
        <v>13</v>
      </c>
      <c r="B21" s="482">
        <f>طابوق!K23+بلوك!I23+حجر!G24+رمل!G24+حصى!G25+سمنت!I23+جص!G24+كاشي2!G23+حديد!F23+ابواب!K23+شبابيك!I23+ت.كهربائيه2!G23+ت.صحيه3!H23+'الكلفه الكليه'!I23</f>
        <v>17292921</v>
      </c>
      <c r="C21" s="482">
        <v>20489256</v>
      </c>
      <c r="D21" s="482">
        <f t="shared" si="0"/>
        <v>37782177</v>
      </c>
      <c r="E21" s="743" t="s">
        <v>22</v>
      </c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  <c r="IX21" s="395"/>
      <c r="IY21" s="395"/>
      <c r="IZ21" s="395"/>
      <c r="JA21" s="395"/>
      <c r="JB21" s="395"/>
      <c r="JC21" s="395"/>
      <c r="JD21" s="395"/>
      <c r="JE21" s="395"/>
      <c r="JF21" s="395"/>
      <c r="JG21" s="395"/>
      <c r="JH21" s="395"/>
      <c r="JI21" s="395"/>
      <c r="JJ21" s="395"/>
      <c r="JK21" s="395"/>
      <c r="JL21" s="395"/>
      <c r="JM21" s="395"/>
      <c r="JN21" s="395"/>
      <c r="JO21" s="395"/>
      <c r="JP21" s="395"/>
      <c r="JQ21" s="395"/>
      <c r="JR21" s="395"/>
      <c r="JS21" s="395"/>
      <c r="JT21" s="395"/>
      <c r="JU21" s="395"/>
      <c r="JV21" s="395"/>
      <c r="JW21" s="395"/>
      <c r="JX21" s="395"/>
      <c r="JY21" s="395"/>
      <c r="JZ21" s="395"/>
      <c r="KA21" s="395"/>
      <c r="KB21" s="395"/>
      <c r="KC21" s="395"/>
      <c r="KD21" s="395"/>
      <c r="KE21" s="395"/>
      <c r="KF21" s="395"/>
      <c r="KG21" s="395"/>
      <c r="KH21" s="395"/>
      <c r="KI21" s="395"/>
      <c r="KJ21" s="395"/>
      <c r="KK21" s="395"/>
      <c r="KL21" s="395"/>
      <c r="KM21" s="395"/>
      <c r="KN21" s="395"/>
      <c r="KO21" s="395"/>
      <c r="KP21" s="395"/>
      <c r="KQ21" s="395"/>
      <c r="KR21" s="395"/>
      <c r="KS21" s="395"/>
      <c r="KT21" s="395"/>
      <c r="KU21" s="395"/>
      <c r="KV21" s="395"/>
      <c r="KW21" s="395"/>
      <c r="KX21" s="395"/>
      <c r="KY21" s="395"/>
      <c r="KZ21" s="395"/>
      <c r="LA21" s="395"/>
      <c r="LB21" s="395"/>
      <c r="LC21" s="395"/>
      <c r="LD21" s="395"/>
      <c r="LE21" s="395"/>
      <c r="LF21" s="395"/>
      <c r="LG21" s="395"/>
      <c r="LH21" s="395"/>
      <c r="LI21" s="395"/>
      <c r="LJ21" s="395"/>
      <c r="LK21" s="395"/>
      <c r="LL21" s="395"/>
      <c r="LM21" s="395"/>
      <c r="LN21" s="395"/>
      <c r="LO21" s="395"/>
      <c r="LP21" s="395"/>
      <c r="LQ21" s="395"/>
      <c r="LR21" s="395"/>
      <c r="LS21" s="395"/>
      <c r="LT21" s="395"/>
      <c r="LU21" s="395"/>
      <c r="LV21" s="395"/>
      <c r="LW21" s="395"/>
      <c r="LX21" s="395"/>
      <c r="LY21" s="395"/>
      <c r="LZ21" s="395"/>
      <c r="MA21" s="395"/>
      <c r="MB21" s="395"/>
      <c r="MC21" s="395"/>
      <c r="MD21" s="395"/>
      <c r="ME21" s="395"/>
      <c r="MF21" s="395"/>
      <c r="MG21" s="395"/>
      <c r="MH21" s="395"/>
      <c r="MI21" s="395"/>
      <c r="MJ21" s="395"/>
      <c r="MK21" s="395"/>
      <c r="ML21" s="395"/>
      <c r="MM21" s="395"/>
      <c r="MN21" s="395"/>
      <c r="MO21" s="395"/>
      <c r="MP21" s="395"/>
      <c r="MQ21" s="395"/>
      <c r="MR21" s="395"/>
      <c r="MS21" s="395"/>
      <c r="MT21" s="395"/>
      <c r="MU21" s="395"/>
      <c r="MV21" s="395"/>
      <c r="MW21" s="395"/>
      <c r="MX21" s="395"/>
      <c r="MY21" s="395"/>
      <c r="MZ21" s="395"/>
      <c r="NA21" s="395"/>
      <c r="NB21" s="395"/>
      <c r="NC21" s="395"/>
      <c r="ND21" s="395"/>
      <c r="NE21" s="395"/>
      <c r="NF21" s="395"/>
      <c r="NG21" s="395"/>
      <c r="NH21" s="395"/>
      <c r="NI21" s="395"/>
      <c r="NJ21" s="395"/>
      <c r="NK21" s="395"/>
      <c r="NL21" s="395"/>
      <c r="NM21" s="395"/>
      <c r="NN21" s="395"/>
      <c r="NO21" s="395"/>
      <c r="NP21" s="395"/>
      <c r="NQ21" s="395"/>
      <c r="NR21" s="395"/>
      <c r="NS21" s="395"/>
      <c r="NT21" s="395"/>
      <c r="NU21" s="395"/>
      <c r="NV21" s="395"/>
      <c r="NW21" s="395"/>
      <c r="NX21" s="395"/>
      <c r="NY21" s="395"/>
      <c r="NZ21" s="395"/>
      <c r="OA21" s="395"/>
      <c r="OB21" s="395"/>
      <c r="OC21" s="395"/>
      <c r="OD21" s="395"/>
      <c r="OE21" s="395"/>
      <c r="OF21" s="395"/>
      <c r="OG21" s="395"/>
      <c r="OH21" s="395"/>
      <c r="OI21" s="395"/>
      <c r="OJ21" s="395"/>
      <c r="OK21" s="395"/>
      <c r="OL21" s="395"/>
      <c r="OM21" s="395"/>
      <c r="ON21" s="395"/>
      <c r="OO21" s="395"/>
      <c r="OP21" s="395"/>
      <c r="OQ21" s="395"/>
      <c r="OR21" s="395"/>
      <c r="OS21" s="395"/>
      <c r="OT21" s="395"/>
      <c r="OU21" s="395"/>
      <c r="OV21" s="395"/>
      <c r="OW21" s="395"/>
      <c r="OX21" s="395"/>
      <c r="OY21" s="395"/>
      <c r="OZ21" s="395"/>
      <c r="PA21" s="395"/>
      <c r="PB21" s="395"/>
      <c r="PC21" s="395"/>
      <c r="PD21" s="395"/>
      <c r="PE21" s="395"/>
      <c r="PF21" s="395"/>
      <c r="PG21" s="395"/>
      <c r="PH21" s="395"/>
      <c r="PI21" s="395"/>
      <c r="PJ21" s="395"/>
      <c r="PK21" s="395"/>
      <c r="PL21" s="395"/>
      <c r="PM21" s="395"/>
      <c r="PN21" s="395"/>
      <c r="PO21" s="395"/>
      <c r="PP21" s="395"/>
      <c r="PQ21" s="395"/>
      <c r="PR21" s="395"/>
      <c r="PS21" s="395"/>
      <c r="PT21" s="395"/>
      <c r="PU21" s="395"/>
      <c r="PV21" s="395"/>
      <c r="PW21" s="395"/>
      <c r="PX21" s="395"/>
      <c r="PY21" s="395"/>
      <c r="PZ21" s="395"/>
      <c r="QA21" s="395"/>
      <c r="QB21" s="395"/>
      <c r="QC21" s="395"/>
      <c r="QD21" s="395"/>
      <c r="QE21" s="395"/>
      <c r="QF21" s="395"/>
      <c r="QG21" s="395"/>
      <c r="QH21" s="395"/>
      <c r="QI21" s="395"/>
      <c r="QJ21" s="395"/>
      <c r="QK21" s="395"/>
      <c r="QL21" s="395"/>
      <c r="QM21" s="395"/>
      <c r="QN21" s="395"/>
      <c r="QO21" s="395"/>
      <c r="QP21" s="395"/>
      <c r="QQ21" s="395"/>
      <c r="QR21" s="395"/>
      <c r="QS21" s="395"/>
      <c r="QT21" s="395"/>
      <c r="QU21" s="395"/>
      <c r="QV21" s="395"/>
      <c r="QW21" s="395"/>
      <c r="QX21" s="395"/>
      <c r="QY21" s="395"/>
      <c r="QZ21" s="395"/>
      <c r="RA21" s="395"/>
      <c r="RB21" s="395"/>
      <c r="RC21" s="395"/>
      <c r="RD21" s="395"/>
      <c r="RE21" s="395"/>
      <c r="RF21" s="395"/>
      <c r="RG21" s="395"/>
      <c r="RH21" s="395"/>
      <c r="RI21" s="395"/>
      <c r="RJ21" s="395"/>
      <c r="RK21" s="395"/>
      <c r="RL21" s="395"/>
      <c r="RM21" s="395"/>
      <c r="RN21" s="395"/>
      <c r="RO21" s="395"/>
      <c r="RP21" s="395"/>
      <c r="RQ21" s="395"/>
      <c r="RR21" s="395"/>
      <c r="RS21" s="395"/>
      <c r="RT21" s="395"/>
      <c r="RU21" s="395"/>
      <c r="RV21" s="395"/>
      <c r="RW21" s="395"/>
      <c r="RX21" s="395"/>
      <c r="RY21" s="395"/>
      <c r="RZ21" s="395"/>
      <c r="SA21" s="395"/>
      <c r="SB21" s="395"/>
      <c r="SC21" s="395"/>
      <c r="SD21" s="395"/>
      <c r="SE21" s="395"/>
      <c r="SF21" s="395"/>
      <c r="SG21" s="395"/>
      <c r="SH21" s="395"/>
      <c r="SI21" s="395"/>
      <c r="SJ21" s="395"/>
      <c r="SK21" s="395"/>
      <c r="SL21" s="395"/>
      <c r="SM21" s="395"/>
      <c r="SN21" s="395"/>
      <c r="SO21" s="395"/>
      <c r="SP21" s="395"/>
      <c r="SQ21" s="395"/>
      <c r="SR21" s="395"/>
      <c r="SS21" s="395"/>
      <c r="ST21" s="395"/>
      <c r="SU21" s="395"/>
      <c r="SV21" s="395"/>
      <c r="SW21" s="395"/>
      <c r="SX21" s="395"/>
      <c r="SY21" s="395"/>
      <c r="SZ21" s="395"/>
      <c r="TA21" s="395"/>
      <c r="TB21" s="395"/>
      <c r="TC21" s="395"/>
      <c r="TD21" s="395"/>
      <c r="TE21" s="395"/>
      <c r="TF21" s="395"/>
      <c r="TG21" s="395"/>
      <c r="TH21" s="395"/>
      <c r="TI21" s="395"/>
      <c r="TJ21" s="395"/>
      <c r="TK21" s="395"/>
      <c r="TL21" s="395"/>
      <c r="TM21" s="395"/>
      <c r="TN21" s="395"/>
      <c r="TO21" s="395"/>
      <c r="TP21" s="395"/>
      <c r="TQ21" s="395"/>
      <c r="TR21" s="395"/>
      <c r="TS21" s="395"/>
      <c r="TT21" s="395"/>
      <c r="TU21" s="395"/>
      <c r="TV21" s="395"/>
      <c r="TW21" s="395"/>
      <c r="TX21" s="395"/>
      <c r="TY21" s="395"/>
      <c r="TZ21" s="395"/>
      <c r="UA21" s="395"/>
      <c r="UB21" s="395"/>
      <c r="UC21" s="395"/>
      <c r="UD21" s="395"/>
      <c r="UE21" s="395"/>
      <c r="UF21" s="395"/>
      <c r="UG21" s="395"/>
      <c r="UH21" s="395"/>
      <c r="UI21" s="395"/>
      <c r="UJ21" s="395"/>
      <c r="UK21" s="395"/>
      <c r="UL21" s="395"/>
      <c r="UM21" s="395"/>
      <c r="UN21" s="395"/>
      <c r="UO21" s="395"/>
    </row>
    <row r="22" spans="1:561" s="431" customFormat="1" ht="19.5" customHeight="1" thickTop="1" thickBot="1" x14ac:dyDescent="0.25">
      <c r="A22" s="674" t="s">
        <v>0</v>
      </c>
      <c r="B22" s="675">
        <f>SUM(B7:B21)</f>
        <v>346563737</v>
      </c>
      <c r="C22" s="675">
        <f>SUM(C7:C21)</f>
        <v>545304394</v>
      </c>
      <c r="D22" s="675">
        <f>B22+C22</f>
        <v>891868131</v>
      </c>
      <c r="E22" s="678" t="s">
        <v>1</v>
      </c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  <c r="IX22" s="395"/>
      <c r="IY22" s="395"/>
      <c r="IZ22" s="395"/>
      <c r="JA22" s="395"/>
      <c r="JB22" s="395"/>
      <c r="JC22" s="395"/>
      <c r="JD22" s="395"/>
      <c r="JE22" s="395"/>
      <c r="JF22" s="395"/>
      <c r="JG22" s="395"/>
      <c r="JH22" s="395"/>
      <c r="JI22" s="395"/>
      <c r="JJ22" s="395"/>
      <c r="JK22" s="395"/>
      <c r="JL22" s="395"/>
      <c r="JM22" s="395"/>
      <c r="JN22" s="395"/>
      <c r="JO22" s="395"/>
      <c r="JP22" s="395"/>
      <c r="JQ22" s="395"/>
      <c r="JR22" s="395"/>
      <c r="JS22" s="395"/>
      <c r="JT22" s="395"/>
      <c r="JU22" s="395"/>
      <c r="JV22" s="395"/>
      <c r="JW22" s="395"/>
      <c r="JX22" s="395"/>
      <c r="JY22" s="395"/>
      <c r="JZ22" s="395"/>
      <c r="KA22" s="395"/>
      <c r="KB22" s="395"/>
      <c r="KC22" s="395"/>
      <c r="KD22" s="395"/>
      <c r="KE22" s="395"/>
      <c r="KF22" s="395"/>
      <c r="KG22" s="395"/>
      <c r="KH22" s="395"/>
      <c r="KI22" s="395"/>
      <c r="KJ22" s="395"/>
      <c r="KK22" s="395"/>
      <c r="KL22" s="395"/>
      <c r="KM22" s="395"/>
      <c r="KN22" s="395"/>
      <c r="KO22" s="395"/>
      <c r="KP22" s="395"/>
      <c r="KQ22" s="395"/>
      <c r="KR22" s="395"/>
      <c r="KS22" s="395"/>
      <c r="KT22" s="395"/>
      <c r="KU22" s="395"/>
      <c r="KV22" s="395"/>
      <c r="KW22" s="395"/>
      <c r="KX22" s="395"/>
      <c r="KY22" s="395"/>
      <c r="KZ22" s="395"/>
      <c r="LA22" s="395"/>
      <c r="LB22" s="395"/>
      <c r="LC22" s="395"/>
      <c r="LD22" s="395"/>
      <c r="LE22" s="395"/>
      <c r="LF22" s="395"/>
      <c r="LG22" s="395"/>
      <c r="LH22" s="395"/>
      <c r="LI22" s="395"/>
      <c r="LJ22" s="395"/>
      <c r="LK22" s="395"/>
      <c r="LL22" s="395"/>
      <c r="LM22" s="395"/>
      <c r="LN22" s="395"/>
      <c r="LO22" s="395"/>
      <c r="LP22" s="395"/>
      <c r="LQ22" s="395"/>
      <c r="LR22" s="395"/>
      <c r="LS22" s="395"/>
      <c r="LT22" s="395"/>
      <c r="LU22" s="395"/>
      <c r="LV22" s="395"/>
      <c r="LW22" s="395"/>
      <c r="LX22" s="395"/>
      <c r="LY22" s="395"/>
      <c r="LZ22" s="395"/>
      <c r="MA22" s="395"/>
      <c r="MB22" s="395"/>
      <c r="MC22" s="395"/>
      <c r="MD22" s="395"/>
      <c r="ME22" s="395"/>
      <c r="MF22" s="395"/>
      <c r="MG22" s="395"/>
      <c r="MH22" s="395"/>
      <c r="MI22" s="395"/>
      <c r="MJ22" s="395"/>
      <c r="MK22" s="395"/>
      <c r="ML22" s="395"/>
      <c r="MM22" s="395"/>
      <c r="MN22" s="395"/>
      <c r="MO22" s="395"/>
      <c r="MP22" s="395"/>
      <c r="MQ22" s="395"/>
      <c r="MR22" s="395"/>
      <c r="MS22" s="395"/>
      <c r="MT22" s="395"/>
      <c r="MU22" s="395"/>
      <c r="MV22" s="395"/>
      <c r="MW22" s="395"/>
      <c r="MX22" s="395"/>
      <c r="MY22" s="395"/>
      <c r="MZ22" s="395"/>
      <c r="NA22" s="395"/>
      <c r="NB22" s="395"/>
      <c r="NC22" s="395"/>
      <c r="ND22" s="395"/>
      <c r="NE22" s="395"/>
      <c r="NF22" s="395"/>
      <c r="NG22" s="395"/>
      <c r="NH22" s="395"/>
      <c r="NI22" s="395"/>
      <c r="NJ22" s="395"/>
      <c r="NK22" s="395"/>
      <c r="NL22" s="395"/>
      <c r="NM22" s="395"/>
      <c r="NN22" s="395"/>
      <c r="NO22" s="395"/>
      <c r="NP22" s="395"/>
      <c r="NQ22" s="395"/>
      <c r="NR22" s="395"/>
      <c r="NS22" s="395"/>
      <c r="NT22" s="395"/>
      <c r="NU22" s="395"/>
      <c r="NV22" s="395"/>
      <c r="NW22" s="395"/>
      <c r="NX22" s="395"/>
      <c r="NY22" s="395"/>
      <c r="NZ22" s="395"/>
      <c r="OA22" s="395"/>
      <c r="OB22" s="395"/>
      <c r="OC22" s="395"/>
      <c r="OD22" s="395"/>
      <c r="OE22" s="395"/>
      <c r="OF22" s="395"/>
      <c r="OG22" s="395"/>
      <c r="OH22" s="395"/>
      <c r="OI22" s="395"/>
      <c r="OJ22" s="395"/>
      <c r="OK22" s="395"/>
      <c r="OL22" s="395"/>
      <c r="OM22" s="395"/>
      <c r="ON22" s="395"/>
      <c r="OO22" s="395"/>
      <c r="OP22" s="395"/>
      <c r="OQ22" s="395"/>
      <c r="OR22" s="395"/>
      <c r="OS22" s="395"/>
      <c r="OT22" s="395"/>
      <c r="OU22" s="395"/>
      <c r="OV22" s="395"/>
      <c r="OW22" s="395"/>
      <c r="OX22" s="395"/>
      <c r="OY22" s="395"/>
      <c r="OZ22" s="395"/>
      <c r="PA22" s="395"/>
      <c r="PB22" s="395"/>
      <c r="PC22" s="395"/>
      <c r="PD22" s="395"/>
      <c r="PE22" s="395"/>
      <c r="PF22" s="395"/>
      <c r="PG22" s="395"/>
      <c r="PH22" s="395"/>
      <c r="PI22" s="395"/>
      <c r="PJ22" s="395"/>
      <c r="PK22" s="395"/>
      <c r="PL22" s="395"/>
      <c r="PM22" s="395"/>
      <c r="PN22" s="395"/>
      <c r="PO22" s="395"/>
      <c r="PP22" s="395"/>
      <c r="PQ22" s="395"/>
      <c r="PR22" s="395"/>
      <c r="PS22" s="395"/>
      <c r="PT22" s="395"/>
      <c r="PU22" s="395"/>
      <c r="PV22" s="395"/>
      <c r="PW22" s="395"/>
      <c r="PX22" s="395"/>
      <c r="PY22" s="395"/>
      <c r="PZ22" s="395"/>
      <c r="QA22" s="395"/>
      <c r="QB22" s="395"/>
      <c r="QC22" s="395"/>
      <c r="QD22" s="395"/>
      <c r="QE22" s="395"/>
      <c r="QF22" s="395"/>
      <c r="QG22" s="395"/>
      <c r="QH22" s="395"/>
      <c r="QI22" s="395"/>
      <c r="QJ22" s="395"/>
      <c r="QK22" s="395"/>
      <c r="QL22" s="395"/>
      <c r="QM22" s="395"/>
      <c r="QN22" s="395"/>
      <c r="QO22" s="395"/>
      <c r="QP22" s="395"/>
      <c r="QQ22" s="395"/>
      <c r="QR22" s="395"/>
      <c r="QS22" s="395"/>
      <c r="QT22" s="395"/>
      <c r="QU22" s="395"/>
      <c r="QV22" s="395"/>
      <c r="QW22" s="395"/>
      <c r="QX22" s="395"/>
      <c r="QY22" s="395"/>
      <c r="QZ22" s="395"/>
      <c r="RA22" s="395"/>
      <c r="RB22" s="395"/>
      <c r="RC22" s="395"/>
      <c r="RD22" s="395"/>
      <c r="RE22" s="395"/>
      <c r="RF22" s="395"/>
      <c r="RG22" s="395"/>
      <c r="RH22" s="395"/>
      <c r="RI22" s="395"/>
      <c r="RJ22" s="395"/>
      <c r="RK22" s="395"/>
      <c r="RL22" s="395"/>
      <c r="RM22" s="395"/>
      <c r="RN22" s="395"/>
      <c r="RO22" s="395"/>
      <c r="RP22" s="395"/>
      <c r="RQ22" s="395"/>
      <c r="RR22" s="395"/>
      <c r="RS22" s="395"/>
      <c r="RT22" s="395"/>
      <c r="RU22" s="395"/>
      <c r="RV22" s="395"/>
      <c r="RW22" s="395"/>
      <c r="RX22" s="395"/>
      <c r="RY22" s="395"/>
      <c r="RZ22" s="395"/>
      <c r="SA22" s="395"/>
      <c r="SB22" s="395"/>
      <c r="SC22" s="395"/>
      <c r="SD22" s="395"/>
      <c r="SE22" s="395"/>
      <c r="SF22" s="395"/>
      <c r="SG22" s="395"/>
      <c r="SH22" s="395"/>
      <c r="SI22" s="395"/>
      <c r="SJ22" s="395"/>
      <c r="SK22" s="395"/>
      <c r="SL22" s="395"/>
      <c r="SM22" s="395"/>
      <c r="SN22" s="395"/>
      <c r="SO22" s="395"/>
      <c r="SP22" s="395"/>
      <c r="SQ22" s="395"/>
      <c r="SR22" s="395"/>
      <c r="SS22" s="395"/>
      <c r="ST22" s="395"/>
      <c r="SU22" s="395"/>
      <c r="SV22" s="395"/>
      <c r="SW22" s="395"/>
      <c r="SX22" s="395"/>
      <c r="SY22" s="395"/>
      <c r="SZ22" s="395"/>
      <c r="TA22" s="395"/>
      <c r="TB22" s="395"/>
      <c r="TC22" s="395"/>
      <c r="TD22" s="395"/>
      <c r="TE22" s="395"/>
      <c r="TF22" s="395"/>
      <c r="TG22" s="395"/>
      <c r="TH22" s="395"/>
      <c r="TI22" s="395"/>
      <c r="TJ22" s="395"/>
      <c r="TK22" s="395"/>
      <c r="TL22" s="395"/>
      <c r="TM22" s="395"/>
      <c r="TN22" s="395"/>
      <c r="TO22" s="395"/>
      <c r="TP22" s="395"/>
      <c r="TQ22" s="395"/>
      <c r="TR22" s="395"/>
      <c r="TS22" s="395"/>
      <c r="TT22" s="395"/>
      <c r="TU22" s="395"/>
      <c r="TV22" s="395"/>
      <c r="TW22" s="395"/>
      <c r="TX22" s="395"/>
      <c r="TY22" s="395"/>
      <c r="TZ22" s="395"/>
      <c r="UA22" s="395"/>
      <c r="UB22" s="395"/>
      <c r="UC22" s="395"/>
      <c r="UD22" s="395"/>
      <c r="UE22" s="395"/>
      <c r="UF22" s="395"/>
      <c r="UG22" s="395"/>
      <c r="UH22" s="395"/>
      <c r="UI22" s="395"/>
      <c r="UJ22" s="395"/>
      <c r="UK22" s="395"/>
      <c r="UL22" s="395"/>
      <c r="UM22" s="395"/>
      <c r="UN22" s="395"/>
      <c r="UO22" s="395"/>
    </row>
    <row r="23" spans="1:561" ht="15" thickTop="1" x14ac:dyDescent="0.2">
      <c r="C23" s="6"/>
      <c r="D23" s="6"/>
      <c r="E23" s="186"/>
    </row>
  </sheetData>
  <mergeCells count="4">
    <mergeCell ref="A1:E1"/>
    <mergeCell ref="A2:E2"/>
    <mergeCell ref="A4:B4"/>
    <mergeCell ref="D3:E3"/>
  </mergeCells>
  <phoneticPr fontId="3" type="noConversion"/>
  <printOptions horizontalCentered="1" verticalCentered="1"/>
  <pageMargins left="1.27" right="1.1599999999999999" top="0" bottom="0.98425196850393704" header="0.78740157480314998" footer="0.511811023622047"/>
  <pageSetup scale="98" orientation="landscape" horizontalDpi="4294967293" verticalDpi="300" r:id="rId1"/>
  <headerFooter alignWithMargins="0">
    <oddFooter>&amp;C50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E1" workbookViewId="0"/>
  </sheetViews>
  <sheetFormatPr defaultRowHeight="12.75" x14ac:dyDescent="0.2"/>
  <sheetData/>
  <pageMargins left="0.7" right="0.7" top="0.75" bottom="0.75" header="0.3" footer="0.3"/>
  <pageSetup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7"/>
  <sheetViews>
    <sheetView rightToLeft="1" zoomScaleSheetLayoutView="100" workbookViewId="0">
      <selection activeCell="G4" sqref="G4"/>
    </sheetView>
  </sheetViews>
  <sheetFormatPr defaultRowHeight="12.75" x14ac:dyDescent="0.2"/>
  <cols>
    <col min="1" max="1" width="15.28515625" customWidth="1"/>
    <col min="2" max="2" width="14.85546875" customWidth="1"/>
    <col min="3" max="3" width="13.5703125" customWidth="1"/>
    <col min="4" max="4" width="15.140625" style="6" customWidth="1"/>
    <col min="5" max="5" width="18" style="6" customWidth="1"/>
    <col min="6" max="6" width="18" customWidth="1"/>
    <col min="7" max="7" width="16.28515625" customWidth="1"/>
  </cols>
  <sheetData>
    <row r="1" spans="1:7" ht="15" x14ac:dyDescent="0.2">
      <c r="A1" s="915" t="s">
        <v>451</v>
      </c>
      <c r="B1" s="915"/>
      <c r="C1" s="915"/>
      <c r="D1" s="915"/>
      <c r="E1" s="915"/>
      <c r="F1" s="915"/>
      <c r="G1" s="915"/>
    </row>
    <row r="2" spans="1:7" ht="18" customHeight="1" x14ac:dyDescent="0.2">
      <c r="A2" s="916" t="s">
        <v>401</v>
      </c>
      <c r="B2" s="916"/>
      <c r="C2" s="916"/>
      <c r="D2" s="916"/>
      <c r="E2" s="916"/>
      <c r="F2" s="916"/>
      <c r="G2" s="916"/>
    </row>
    <row r="3" spans="1:7" ht="12" customHeight="1" x14ac:dyDescent="0.2">
      <c r="A3" s="916"/>
      <c r="B3" s="916"/>
      <c r="C3" s="916"/>
      <c r="D3" s="916"/>
      <c r="E3" s="916"/>
      <c r="F3" s="916"/>
      <c r="G3" s="916"/>
    </row>
    <row r="4" spans="1:7" s="6" customFormat="1" ht="12" customHeight="1" x14ac:dyDescent="0.2">
      <c r="B4" s="206"/>
      <c r="C4" s="206"/>
      <c r="D4" s="244"/>
      <c r="E4" s="244"/>
      <c r="F4" s="206"/>
      <c r="G4" s="215" t="s">
        <v>477</v>
      </c>
    </row>
    <row r="5" spans="1:7" ht="18.75" customHeight="1" thickBot="1" x14ac:dyDescent="0.25">
      <c r="A5" s="914" t="s">
        <v>452</v>
      </c>
      <c r="B5" s="914"/>
      <c r="C5" s="914"/>
      <c r="D5" s="245"/>
      <c r="E5" s="245"/>
      <c r="F5" s="913" t="s">
        <v>309</v>
      </c>
      <c r="G5" s="913"/>
    </row>
    <row r="6" spans="1:7" s="151" customFormat="1" ht="15" customHeight="1" x14ac:dyDescent="0.2">
      <c r="A6" s="377"/>
      <c r="B6" s="378" t="s">
        <v>65</v>
      </c>
      <c r="C6" s="379" t="s">
        <v>72</v>
      </c>
      <c r="D6" s="379" t="s">
        <v>73</v>
      </c>
      <c r="E6" s="379" t="s">
        <v>78</v>
      </c>
      <c r="F6" s="379" t="s">
        <v>79</v>
      </c>
      <c r="G6" s="380"/>
    </row>
    <row r="7" spans="1:7" ht="15" customHeight="1" x14ac:dyDescent="0.25">
      <c r="A7" s="19"/>
      <c r="B7" s="249" t="s">
        <v>28</v>
      </c>
      <c r="C7" s="21" t="s">
        <v>156</v>
      </c>
      <c r="D7" s="21" t="s">
        <v>141</v>
      </c>
      <c r="E7" s="21" t="s">
        <v>133</v>
      </c>
      <c r="F7" s="21" t="s">
        <v>135</v>
      </c>
      <c r="G7" s="57"/>
    </row>
    <row r="8" spans="1:7" ht="15" customHeight="1" x14ac:dyDescent="0.2">
      <c r="A8" s="246" t="s">
        <v>77</v>
      </c>
      <c r="B8" s="246" t="s">
        <v>129</v>
      </c>
      <c r="C8" s="246" t="s">
        <v>129</v>
      </c>
      <c r="D8" s="246" t="s">
        <v>129</v>
      </c>
      <c r="E8" s="246" t="s">
        <v>128</v>
      </c>
      <c r="F8" s="247"/>
      <c r="G8" s="248" t="s">
        <v>26</v>
      </c>
    </row>
    <row r="9" spans="1:7" s="289" customFormat="1" ht="15" customHeight="1" x14ac:dyDescent="0.2">
      <c r="A9" s="390" t="s">
        <v>356</v>
      </c>
      <c r="B9" s="412">
        <v>28</v>
      </c>
      <c r="C9" s="391">
        <v>167</v>
      </c>
      <c r="D9" s="391">
        <v>1</v>
      </c>
      <c r="E9" s="391">
        <v>4394</v>
      </c>
      <c r="F9" s="391">
        <v>1286732</v>
      </c>
      <c r="G9" s="412" t="s">
        <v>357</v>
      </c>
    </row>
    <row r="10" spans="1:7" s="289" customFormat="1" ht="15" customHeight="1" x14ac:dyDescent="0.2">
      <c r="A10" s="569" t="s">
        <v>30</v>
      </c>
      <c r="B10" s="170">
        <v>115</v>
      </c>
      <c r="C10" s="79">
        <v>722</v>
      </c>
      <c r="D10" s="79">
        <v>0</v>
      </c>
      <c r="E10" s="79">
        <v>19845</v>
      </c>
      <c r="F10" s="79">
        <v>9276073</v>
      </c>
      <c r="G10" s="170" t="s">
        <v>31</v>
      </c>
    </row>
    <row r="11" spans="1:7" s="289" customFormat="1" ht="15" customHeight="1" x14ac:dyDescent="0.2">
      <c r="A11" s="390" t="s">
        <v>3</v>
      </c>
      <c r="B11" s="412">
        <v>88</v>
      </c>
      <c r="C11" s="391">
        <v>439</v>
      </c>
      <c r="D11" s="391">
        <v>0</v>
      </c>
      <c r="E11" s="391">
        <v>16914</v>
      </c>
      <c r="F11" s="391">
        <v>7469900</v>
      </c>
      <c r="G11" s="412" t="s">
        <v>15</v>
      </c>
    </row>
    <row r="12" spans="1:7" s="289" customFormat="1" ht="15" customHeight="1" x14ac:dyDescent="0.2">
      <c r="A12" s="569" t="s">
        <v>336</v>
      </c>
      <c r="B12" s="170">
        <v>3</v>
      </c>
      <c r="C12" s="79">
        <v>10</v>
      </c>
      <c r="D12" s="79">
        <v>0</v>
      </c>
      <c r="E12" s="79">
        <v>469</v>
      </c>
      <c r="F12" s="79">
        <v>174125</v>
      </c>
      <c r="G12" s="170" t="s">
        <v>337</v>
      </c>
    </row>
    <row r="13" spans="1:7" s="289" customFormat="1" ht="15" customHeight="1" x14ac:dyDescent="0.2">
      <c r="A13" s="390" t="s">
        <v>4</v>
      </c>
      <c r="B13" s="412">
        <v>288</v>
      </c>
      <c r="C13" s="391">
        <v>1632</v>
      </c>
      <c r="D13" s="391">
        <v>0</v>
      </c>
      <c r="E13" s="391">
        <v>56165</v>
      </c>
      <c r="F13" s="391">
        <v>22412335</v>
      </c>
      <c r="G13" s="412" t="s">
        <v>16</v>
      </c>
    </row>
    <row r="14" spans="1:7" s="289" customFormat="1" ht="15" customHeight="1" x14ac:dyDescent="0.2">
      <c r="A14" s="569" t="s">
        <v>5</v>
      </c>
      <c r="B14" s="170">
        <v>41</v>
      </c>
      <c r="C14" s="79">
        <v>189</v>
      </c>
      <c r="D14" s="79">
        <v>0</v>
      </c>
      <c r="E14" s="79">
        <v>6007</v>
      </c>
      <c r="F14" s="79">
        <v>2668107</v>
      </c>
      <c r="G14" s="170" t="s">
        <v>23</v>
      </c>
    </row>
    <row r="15" spans="1:7" s="289" customFormat="1" ht="15" customHeight="1" x14ac:dyDescent="0.2">
      <c r="A15" s="390" t="s">
        <v>6</v>
      </c>
      <c r="B15" s="412">
        <v>213</v>
      </c>
      <c r="C15" s="391">
        <v>1158</v>
      </c>
      <c r="D15" s="391">
        <v>1</v>
      </c>
      <c r="E15" s="391">
        <v>29556</v>
      </c>
      <c r="F15" s="391">
        <v>10616063</v>
      </c>
      <c r="G15" s="412" t="s">
        <v>24</v>
      </c>
    </row>
    <row r="16" spans="1:7" s="289" customFormat="1" ht="15" customHeight="1" x14ac:dyDescent="0.2">
      <c r="A16" s="569" t="s">
        <v>11</v>
      </c>
      <c r="B16" s="170">
        <v>82</v>
      </c>
      <c r="C16" s="79">
        <v>476</v>
      </c>
      <c r="D16" s="79">
        <v>0</v>
      </c>
      <c r="E16" s="79">
        <v>15562</v>
      </c>
      <c r="F16" s="79">
        <v>4047520</v>
      </c>
      <c r="G16" s="170" t="s">
        <v>21</v>
      </c>
    </row>
    <row r="17" spans="1:7" s="289" customFormat="1" ht="15" customHeight="1" x14ac:dyDescent="0.2">
      <c r="A17" s="390" t="s">
        <v>2</v>
      </c>
      <c r="B17" s="412">
        <v>41</v>
      </c>
      <c r="C17" s="391">
        <v>138</v>
      </c>
      <c r="D17" s="391">
        <v>0</v>
      </c>
      <c r="E17" s="391">
        <v>5177</v>
      </c>
      <c r="F17" s="391">
        <v>1465339</v>
      </c>
      <c r="G17" s="412" t="s">
        <v>14</v>
      </c>
    </row>
    <row r="18" spans="1:7" s="289" customFormat="1" ht="15" customHeight="1" x14ac:dyDescent="0.2">
      <c r="A18" s="569" t="s">
        <v>7</v>
      </c>
      <c r="B18" s="170">
        <v>159</v>
      </c>
      <c r="C18" s="79">
        <v>772</v>
      </c>
      <c r="D18" s="79">
        <v>3</v>
      </c>
      <c r="E18" s="79">
        <v>20467</v>
      </c>
      <c r="F18" s="79">
        <v>11292214</v>
      </c>
      <c r="G18" s="170" t="s">
        <v>17</v>
      </c>
    </row>
    <row r="19" spans="1:7" s="289" customFormat="1" ht="15" customHeight="1" x14ac:dyDescent="0.2">
      <c r="A19" s="390" t="s">
        <v>8</v>
      </c>
      <c r="B19" s="412">
        <v>230</v>
      </c>
      <c r="C19" s="391">
        <v>1117</v>
      </c>
      <c r="D19" s="391">
        <v>0</v>
      </c>
      <c r="E19" s="391">
        <v>26685</v>
      </c>
      <c r="F19" s="391">
        <v>11759954</v>
      </c>
      <c r="G19" s="412" t="s">
        <v>18</v>
      </c>
    </row>
    <row r="20" spans="1:7" s="289" customFormat="1" ht="15" customHeight="1" x14ac:dyDescent="0.2">
      <c r="A20" s="569" t="s">
        <v>9</v>
      </c>
      <c r="B20" s="170">
        <v>24</v>
      </c>
      <c r="C20" s="79">
        <v>98</v>
      </c>
      <c r="D20" s="79">
        <v>0</v>
      </c>
      <c r="E20" s="79">
        <v>3066</v>
      </c>
      <c r="F20" s="79">
        <v>1262220</v>
      </c>
      <c r="G20" s="170" t="s">
        <v>19</v>
      </c>
    </row>
    <row r="21" spans="1:7" s="289" customFormat="1" ht="15" customHeight="1" x14ac:dyDescent="0.2">
      <c r="A21" s="390" t="s">
        <v>10</v>
      </c>
      <c r="B21" s="412">
        <v>279</v>
      </c>
      <c r="C21" s="391">
        <v>1280</v>
      </c>
      <c r="D21" s="391">
        <v>0</v>
      </c>
      <c r="E21" s="391">
        <v>35407</v>
      </c>
      <c r="F21" s="391">
        <v>10463162</v>
      </c>
      <c r="G21" s="412" t="s">
        <v>20</v>
      </c>
    </row>
    <row r="22" spans="1:7" s="289" customFormat="1" ht="15" customHeight="1" x14ac:dyDescent="0.2">
      <c r="A22" s="569" t="s">
        <v>12</v>
      </c>
      <c r="B22" s="170">
        <v>133</v>
      </c>
      <c r="C22" s="79">
        <v>499</v>
      </c>
      <c r="D22" s="79">
        <v>0</v>
      </c>
      <c r="E22" s="79">
        <v>16488</v>
      </c>
      <c r="F22" s="79">
        <v>4846187</v>
      </c>
      <c r="G22" s="170" t="s">
        <v>25</v>
      </c>
    </row>
    <row r="23" spans="1:7" s="289" customFormat="1" ht="15" customHeight="1" thickBot="1" x14ac:dyDescent="0.25">
      <c r="A23" s="390" t="s">
        <v>13</v>
      </c>
      <c r="B23" s="412">
        <v>166</v>
      </c>
      <c r="C23" s="391">
        <v>671</v>
      </c>
      <c r="D23" s="391">
        <v>0</v>
      </c>
      <c r="E23" s="391">
        <v>26832</v>
      </c>
      <c r="F23" s="391">
        <v>12721290</v>
      </c>
      <c r="G23" s="412" t="s">
        <v>22</v>
      </c>
    </row>
    <row r="24" spans="1:7" s="289" customFormat="1" ht="20.25" customHeight="1" thickTop="1" thickBot="1" x14ac:dyDescent="0.25">
      <c r="A24" s="413" t="s">
        <v>0</v>
      </c>
      <c r="B24" s="414">
        <f>SUM(B9:B23)</f>
        <v>1890</v>
      </c>
      <c r="C24" s="415">
        <f>SUM(C9:C23)</f>
        <v>9368</v>
      </c>
      <c r="D24" s="415">
        <f>SUM(D9:D23)</f>
        <v>5</v>
      </c>
      <c r="E24" s="415">
        <f>SUM(E9:E23)</f>
        <v>283034</v>
      </c>
      <c r="F24" s="874">
        <f>SUM(F9:F23)</f>
        <v>111761221</v>
      </c>
      <c r="G24" s="414" t="s">
        <v>1</v>
      </c>
    </row>
    <row r="25" spans="1:7" ht="15.75" thickTop="1" x14ac:dyDescent="0.25">
      <c r="A25" s="917"/>
      <c r="B25" s="917"/>
      <c r="C25" s="917"/>
      <c r="D25" s="917"/>
      <c r="E25" s="13"/>
      <c r="F25" s="22"/>
      <c r="G25" s="22"/>
    </row>
    <row r="26" spans="1:7" ht="15" x14ac:dyDescent="0.25">
      <c r="B26" s="22"/>
      <c r="C26" s="22"/>
      <c r="D26" s="22"/>
      <c r="E26" s="22"/>
      <c r="F26" s="22"/>
      <c r="G26" s="22"/>
    </row>
    <row r="27" spans="1:7" x14ac:dyDescent="0.2">
      <c r="F27" s="5"/>
    </row>
  </sheetData>
  <mergeCells count="5">
    <mergeCell ref="F5:G5"/>
    <mergeCell ref="A5:C5"/>
    <mergeCell ref="A1:G1"/>
    <mergeCell ref="A2:G3"/>
    <mergeCell ref="A25:D25"/>
  </mergeCells>
  <phoneticPr fontId="3" type="noConversion"/>
  <printOptions horizontalCentered="1" verticalCentered="1"/>
  <pageMargins left="1.4" right="1.39" top="1.0374015750000001" bottom="0.98425196850393704" header="0.78740157480314998" footer="0.511811023622047"/>
  <pageSetup scale="94" orientation="landscape" verticalDpi="300" r:id="rId1"/>
  <headerFooter alignWithMargins="0">
    <oddFooter>&amp;C13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O28"/>
  <sheetViews>
    <sheetView rightToLeft="1" showWhiteSpace="0" topLeftCell="B1" zoomScaleSheetLayoutView="100" workbookViewId="0">
      <selection activeCell="H21" sqref="H21"/>
    </sheetView>
  </sheetViews>
  <sheetFormatPr defaultRowHeight="12.75" x14ac:dyDescent="0.2"/>
  <cols>
    <col min="1" max="1" width="2.42578125" customWidth="1"/>
    <col min="2" max="2" width="13.7109375" customWidth="1"/>
    <col min="3" max="3" width="12.140625" customWidth="1"/>
    <col min="4" max="4" width="10.140625" customWidth="1"/>
    <col min="5" max="5" width="12.5703125" customWidth="1"/>
    <col min="6" max="6" width="13.28515625" customWidth="1"/>
    <col min="7" max="7" width="13.5703125" style="6" customWidth="1"/>
    <col min="8" max="8" width="18" style="484" customWidth="1"/>
    <col min="9" max="9" width="14.42578125" customWidth="1"/>
    <col min="10" max="10" width="16.42578125" customWidth="1"/>
  </cols>
  <sheetData>
    <row r="1" spans="2:10" ht="30.75" customHeight="1" x14ac:dyDescent="0.2">
      <c r="B1" s="903" t="s">
        <v>402</v>
      </c>
      <c r="C1" s="903"/>
      <c r="D1" s="903"/>
      <c r="E1" s="903"/>
      <c r="F1" s="903"/>
      <c r="G1" s="903"/>
      <c r="H1" s="903"/>
      <c r="I1" s="903"/>
      <c r="J1" s="903"/>
    </row>
    <row r="2" spans="2:10" ht="22.5" customHeight="1" x14ac:dyDescent="0.2">
      <c r="B2" s="911" t="s">
        <v>403</v>
      </c>
      <c r="C2" s="911"/>
      <c r="D2" s="911"/>
      <c r="E2" s="911"/>
      <c r="F2" s="911"/>
      <c r="G2" s="911"/>
      <c r="H2" s="911"/>
      <c r="I2" s="911"/>
      <c r="J2" s="911"/>
    </row>
    <row r="3" spans="2:10" s="6" customFormat="1" ht="18.75" customHeight="1" x14ac:dyDescent="0.2">
      <c r="C3" s="205"/>
      <c r="D3" s="205"/>
      <c r="E3" s="205"/>
      <c r="F3" s="205"/>
      <c r="G3" s="488"/>
      <c r="H3" s="488"/>
      <c r="I3" s="205"/>
      <c r="J3" s="215" t="s">
        <v>477</v>
      </c>
    </row>
    <row r="4" spans="2:10" ht="28.5" customHeight="1" thickBot="1" x14ac:dyDescent="0.25">
      <c r="B4" s="48" t="s">
        <v>370</v>
      </c>
      <c r="C4" s="919" t="s">
        <v>146</v>
      </c>
      <c r="D4" s="919"/>
      <c r="E4" s="49"/>
      <c r="F4" s="49"/>
      <c r="G4" s="489"/>
      <c r="H4" s="489"/>
      <c r="I4" s="49" t="s">
        <v>145</v>
      </c>
      <c r="J4" s="25" t="s">
        <v>100</v>
      </c>
    </row>
    <row r="5" spans="2:10" ht="15" customHeight="1" x14ac:dyDescent="0.2">
      <c r="B5" s="29"/>
      <c r="C5" s="28" t="s">
        <v>27</v>
      </c>
      <c r="D5" s="28" t="s">
        <v>101</v>
      </c>
      <c r="E5" s="28" t="s">
        <v>102</v>
      </c>
      <c r="F5" s="28" t="s">
        <v>72</v>
      </c>
      <c r="G5" s="28" t="s">
        <v>74</v>
      </c>
      <c r="H5" s="28" t="s">
        <v>78</v>
      </c>
      <c r="I5" s="28" t="s">
        <v>120</v>
      </c>
      <c r="J5" s="28"/>
    </row>
    <row r="6" spans="2:10" ht="15" customHeight="1" x14ac:dyDescent="0.25">
      <c r="B6" s="178"/>
      <c r="C6" s="179" t="s">
        <v>28</v>
      </c>
      <c r="D6" s="20" t="s">
        <v>310</v>
      </c>
      <c r="E6" s="20" t="s">
        <v>148</v>
      </c>
      <c r="F6" s="20" t="s">
        <v>289</v>
      </c>
      <c r="G6" s="20" t="s">
        <v>389</v>
      </c>
      <c r="H6" s="179" t="s">
        <v>133</v>
      </c>
      <c r="I6" s="30" t="s">
        <v>136</v>
      </c>
      <c r="J6" s="20"/>
    </row>
    <row r="7" spans="2:10" ht="16.5" customHeight="1" thickBot="1" x14ac:dyDescent="0.25">
      <c r="B7" s="180" t="s">
        <v>50</v>
      </c>
      <c r="C7" s="228" t="s">
        <v>129</v>
      </c>
      <c r="D7" s="228" t="s">
        <v>157</v>
      </c>
      <c r="E7" s="228" t="s">
        <v>158</v>
      </c>
      <c r="F7" s="228" t="s">
        <v>157</v>
      </c>
      <c r="G7" s="228" t="s">
        <v>43</v>
      </c>
      <c r="H7" s="228" t="s">
        <v>128</v>
      </c>
      <c r="I7" s="180"/>
      <c r="J7" s="181" t="s">
        <v>26</v>
      </c>
    </row>
    <row r="8" spans="2:10" s="151" customFormat="1" ht="15" customHeight="1" thickTop="1" x14ac:dyDescent="0.25">
      <c r="B8" s="645" t="s">
        <v>342</v>
      </c>
      <c r="C8" s="282">
        <v>1</v>
      </c>
      <c r="D8" s="282">
        <v>1</v>
      </c>
      <c r="E8" s="282">
        <v>1</v>
      </c>
      <c r="F8" s="282">
        <v>5</v>
      </c>
      <c r="G8" s="282">
        <v>96</v>
      </c>
      <c r="H8" s="282">
        <v>164</v>
      </c>
      <c r="I8" s="284">
        <v>65408</v>
      </c>
      <c r="J8" s="583" t="s">
        <v>337</v>
      </c>
    </row>
    <row r="9" spans="2:10" s="151" customFormat="1" ht="15" customHeight="1" x14ac:dyDescent="0.25">
      <c r="B9" s="652" t="s">
        <v>4</v>
      </c>
      <c r="C9" s="653">
        <v>2</v>
      </c>
      <c r="D9" s="653">
        <v>8</v>
      </c>
      <c r="E9" s="653">
        <v>17</v>
      </c>
      <c r="F9" s="653">
        <v>55</v>
      </c>
      <c r="G9" s="653">
        <v>669</v>
      </c>
      <c r="H9" s="653">
        <v>2067</v>
      </c>
      <c r="I9" s="654">
        <v>487293</v>
      </c>
      <c r="J9" s="655" t="s">
        <v>16</v>
      </c>
    </row>
    <row r="10" spans="2:10" s="151" customFormat="1" ht="15" customHeight="1" x14ac:dyDescent="0.25">
      <c r="B10" s="642" t="s">
        <v>2</v>
      </c>
      <c r="C10" s="282">
        <v>1</v>
      </c>
      <c r="D10" s="282">
        <v>2</v>
      </c>
      <c r="E10" s="282">
        <v>6</v>
      </c>
      <c r="F10" s="282">
        <v>22</v>
      </c>
      <c r="G10" s="282">
        <v>174</v>
      </c>
      <c r="H10" s="282">
        <v>474</v>
      </c>
      <c r="I10" s="284">
        <v>142600</v>
      </c>
      <c r="J10" s="393" t="s">
        <v>14</v>
      </c>
    </row>
    <row r="11" spans="2:10" s="6" customFormat="1" ht="15" customHeight="1" thickBot="1" x14ac:dyDescent="0.3">
      <c r="B11" s="14" t="s">
        <v>9</v>
      </c>
      <c r="C11" s="281">
        <v>1</v>
      </c>
      <c r="D11" s="281">
        <v>1</v>
      </c>
      <c r="E11" s="281">
        <v>1</v>
      </c>
      <c r="F11" s="281">
        <v>6</v>
      </c>
      <c r="G11" s="281">
        <v>72</v>
      </c>
      <c r="H11" s="281">
        <v>216</v>
      </c>
      <c r="I11" s="285">
        <v>97200</v>
      </c>
      <c r="J11" s="493" t="s">
        <v>19</v>
      </c>
    </row>
    <row r="12" spans="2:10" ht="24" customHeight="1" thickTop="1" thickBot="1" x14ac:dyDescent="0.25">
      <c r="B12" s="182" t="s">
        <v>0</v>
      </c>
      <c r="C12" s="301">
        <f t="shared" ref="C12:I12" si="0">SUM(C8:C11)</f>
        <v>5</v>
      </c>
      <c r="D12" s="301">
        <f t="shared" si="0"/>
        <v>12</v>
      </c>
      <c r="E12" s="301">
        <f t="shared" si="0"/>
        <v>25</v>
      </c>
      <c r="F12" s="301">
        <f t="shared" si="0"/>
        <v>88</v>
      </c>
      <c r="G12" s="301">
        <f t="shared" si="0"/>
        <v>1011</v>
      </c>
      <c r="H12" s="301">
        <f t="shared" si="0"/>
        <v>2921</v>
      </c>
      <c r="I12" s="301">
        <f t="shared" si="0"/>
        <v>792501</v>
      </c>
      <c r="J12" s="182" t="s">
        <v>105</v>
      </c>
    </row>
    <row r="13" spans="2:10" ht="13.5" thickTop="1" x14ac:dyDescent="0.2">
      <c r="B13" s="917"/>
      <c r="C13" s="917"/>
      <c r="D13" s="917"/>
      <c r="E13" s="917"/>
      <c r="F13" s="917"/>
      <c r="G13" s="487"/>
    </row>
    <row r="14" spans="2:10" ht="15" x14ac:dyDescent="0.25">
      <c r="B14" s="7"/>
      <c r="C14" s="22"/>
      <c r="D14" s="22"/>
      <c r="E14" s="22"/>
      <c r="F14" s="22"/>
      <c r="G14" s="22"/>
      <c r="H14" s="485"/>
      <c r="I14" s="22"/>
      <c r="J14" s="7"/>
    </row>
    <row r="17" spans="2:15" ht="15" x14ac:dyDescent="0.2">
      <c r="B17" s="903" t="s">
        <v>404</v>
      </c>
      <c r="C17" s="903"/>
      <c r="D17" s="903"/>
      <c r="E17" s="903"/>
      <c r="F17" s="903"/>
      <c r="G17" s="903"/>
      <c r="H17" s="903"/>
      <c r="I17" s="903"/>
      <c r="J17" s="903"/>
      <c r="O17" s="151"/>
    </row>
    <row r="18" spans="2:15" ht="15" x14ac:dyDescent="0.2">
      <c r="B18" s="911" t="s">
        <v>403</v>
      </c>
      <c r="C18" s="911"/>
      <c r="D18" s="911"/>
      <c r="E18" s="911"/>
      <c r="F18" s="911"/>
      <c r="G18" s="911"/>
      <c r="H18" s="911"/>
      <c r="I18" s="911"/>
      <c r="J18" s="911"/>
    </row>
    <row r="19" spans="2:15" s="6" customFormat="1" ht="15" x14ac:dyDescent="0.2">
      <c r="B19" s="501"/>
      <c r="C19" s="501"/>
      <c r="D19" s="501"/>
      <c r="E19" s="501"/>
      <c r="F19" s="501"/>
      <c r="G19" s="501"/>
      <c r="H19" s="501"/>
      <c r="I19" s="501"/>
      <c r="J19" s="505" t="s">
        <v>477</v>
      </c>
    </row>
    <row r="20" spans="2:15" ht="15.75" customHeight="1" thickBot="1" x14ac:dyDescent="0.25">
      <c r="B20" s="502" t="s">
        <v>371</v>
      </c>
      <c r="C20" s="919" t="s">
        <v>299</v>
      </c>
      <c r="D20" s="919"/>
      <c r="E20" s="502"/>
      <c r="F20" s="502"/>
      <c r="G20" s="502"/>
      <c r="H20" s="502"/>
      <c r="I20" s="502" t="s">
        <v>311</v>
      </c>
      <c r="J20" s="502" t="s">
        <v>104</v>
      </c>
    </row>
    <row r="21" spans="2:15" ht="30" x14ac:dyDescent="0.2">
      <c r="B21" s="28"/>
      <c r="C21" s="28" t="s">
        <v>27</v>
      </c>
      <c r="D21" s="28" t="s">
        <v>101</v>
      </c>
      <c r="E21" s="28" t="s">
        <v>102</v>
      </c>
      <c r="F21" s="28" t="s">
        <v>72</v>
      </c>
      <c r="G21" s="28" t="s">
        <v>78</v>
      </c>
      <c r="H21" s="28" t="s">
        <v>120</v>
      </c>
      <c r="I21" s="28"/>
      <c r="J21" s="591"/>
    </row>
    <row r="22" spans="2:15" ht="15" x14ac:dyDescent="0.25">
      <c r="B22" s="179"/>
      <c r="C22" s="179" t="s">
        <v>28</v>
      </c>
      <c r="D22" s="20" t="s">
        <v>310</v>
      </c>
      <c r="E22" s="20" t="s">
        <v>148</v>
      </c>
      <c r="F22" s="20" t="s">
        <v>289</v>
      </c>
      <c r="G22" s="179" t="s">
        <v>133</v>
      </c>
      <c r="H22" s="30" t="s">
        <v>136</v>
      </c>
      <c r="I22" s="20"/>
      <c r="J22" s="498"/>
    </row>
    <row r="23" spans="2:15" ht="31.5" customHeight="1" thickBot="1" x14ac:dyDescent="0.25">
      <c r="B23" s="180" t="s">
        <v>50</v>
      </c>
      <c r="C23" s="228" t="s">
        <v>129</v>
      </c>
      <c r="D23" s="228" t="s">
        <v>157</v>
      </c>
      <c r="E23" s="228" t="s">
        <v>158</v>
      </c>
      <c r="F23" s="228" t="s">
        <v>157</v>
      </c>
      <c r="G23" s="228" t="s">
        <v>128</v>
      </c>
      <c r="H23" s="181"/>
      <c r="I23" s="228"/>
      <c r="J23" s="181" t="s">
        <v>26</v>
      </c>
    </row>
    <row r="24" spans="2:15" s="151" customFormat="1" ht="16.5" thickTop="1" thickBot="1" x14ac:dyDescent="0.3">
      <c r="B24" s="33" t="s">
        <v>7</v>
      </c>
      <c r="C24" s="281">
        <v>1</v>
      </c>
      <c r="D24" s="281">
        <v>1</v>
      </c>
      <c r="E24" s="281">
        <v>1</v>
      </c>
      <c r="F24" s="281">
        <v>3</v>
      </c>
      <c r="G24" s="281">
        <v>68</v>
      </c>
      <c r="H24" s="285">
        <v>27300</v>
      </c>
      <c r="I24" s="170"/>
      <c r="J24" s="170" t="s">
        <v>17</v>
      </c>
    </row>
    <row r="25" spans="2:15" ht="16.5" thickBot="1" x14ac:dyDescent="0.25">
      <c r="B25" s="633" t="s">
        <v>0</v>
      </c>
      <c r="C25" s="389">
        <f t="shared" ref="C25:H25" si="1">SUM(C24)</f>
        <v>1</v>
      </c>
      <c r="D25" s="389">
        <f t="shared" si="1"/>
        <v>1</v>
      </c>
      <c r="E25" s="389">
        <v>1</v>
      </c>
      <c r="F25" s="389">
        <f t="shared" si="1"/>
        <v>3</v>
      </c>
      <c r="G25" s="389">
        <f t="shared" si="1"/>
        <v>68</v>
      </c>
      <c r="H25" s="389">
        <f t="shared" si="1"/>
        <v>27300</v>
      </c>
      <c r="I25" s="592"/>
      <c r="J25" s="592" t="s">
        <v>105</v>
      </c>
    </row>
    <row r="26" spans="2:15" x14ac:dyDescent="0.2">
      <c r="B26" s="908"/>
      <c r="C26" s="918"/>
      <c r="D26" s="918"/>
      <c r="E26" s="918"/>
      <c r="F26" s="918"/>
      <c r="G26" s="492"/>
      <c r="I26" s="6"/>
      <c r="J26" s="6"/>
    </row>
    <row r="27" spans="2:15" ht="15" x14ac:dyDescent="0.25">
      <c r="C27" s="22"/>
      <c r="D27" s="22"/>
      <c r="E27" s="22"/>
      <c r="F27" s="22"/>
      <c r="G27" s="22"/>
      <c r="H27" s="485"/>
      <c r="I27" s="22"/>
      <c r="J27" s="7"/>
    </row>
    <row r="28" spans="2:15" x14ac:dyDescent="0.2">
      <c r="J28" s="740"/>
    </row>
  </sheetData>
  <mergeCells count="8">
    <mergeCell ref="B26:F26"/>
    <mergeCell ref="B1:J1"/>
    <mergeCell ref="B2:J2"/>
    <mergeCell ref="B17:J17"/>
    <mergeCell ref="B18:J18"/>
    <mergeCell ref="C20:D20"/>
    <mergeCell ref="C4:D4"/>
    <mergeCell ref="B13:F13"/>
  </mergeCells>
  <phoneticPr fontId="3" type="noConversion"/>
  <printOptions horizontalCentered="1" verticalCentered="1"/>
  <pageMargins left="0.24" right="0.38" top="1.0374015750000001" bottom="0.98425196850393704" header="0.78740157480314998" footer="0.511811023622047"/>
  <pageSetup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4"/>
  <sheetViews>
    <sheetView rightToLeft="1" topLeftCell="B1" zoomScaleSheetLayoutView="100" workbookViewId="0">
      <selection activeCell="K3" sqref="K3"/>
    </sheetView>
  </sheetViews>
  <sheetFormatPr defaultRowHeight="12.75" x14ac:dyDescent="0.2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6.7109375" customWidth="1"/>
    <col min="11" max="11" width="13.85546875" customWidth="1"/>
    <col min="12" max="12" width="1.140625" customWidth="1"/>
  </cols>
  <sheetData>
    <row r="1" spans="1:11" ht="15" x14ac:dyDescent="0.2">
      <c r="B1" s="903" t="s">
        <v>405</v>
      </c>
      <c r="C1" s="903"/>
      <c r="D1" s="903"/>
      <c r="E1" s="903"/>
      <c r="F1" s="903"/>
      <c r="G1" s="903"/>
      <c r="H1" s="903"/>
      <c r="I1" s="903"/>
      <c r="J1" s="903"/>
      <c r="K1" s="903"/>
    </row>
    <row r="2" spans="1:11" ht="15" customHeight="1" x14ac:dyDescent="0.2">
      <c r="B2" s="921" t="s">
        <v>406</v>
      </c>
      <c r="C2" s="921"/>
      <c r="D2" s="921"/>
      <c r="E2" s="921"/>
      <c r="F2" s="921"/>
      <c r="G2" s="921"/>
      <c r="H2" s="921"/>
      <c r="I2" s="921"/>
      <c r="J2" s="921"/>
      <c r="K2" s="921"/>
    </row>
    <row r="3" spans="1:11" s="6" customFormat="1" ht="15" customHeight="1" x14ac:dyDescent="0.2">
      <c r="B3" s="207"/>
      <c r="C3" s="207"/>
      <c r="D3" s="207"/>
      <c r="E3" s="207"/>
      <c r="F3" s="207"/>
      <c r="G3" s="207"/>
      <c r="H3" s="207"/>
      <c r="I3" s="207"/>
      <c r="J3" s="207"/>
      <c r="K3" s="215" t="s">
        <v>477</v>
      </c>
    </row>
    <row r="4" spans="1:11" ht="16.5" customHeight="1" thickBot="1" x14ac:dyDescent="0.3">
      <c r="B4" s="912" t="s">
        <v>372</v>
      </c>
      <c r="C4" s="912"/>
      <c r="D4" s="920" t="s">
        <v>146</v>
      </c>
      <c r="E4" s="920"/>
      <c r="F4" s="24"/>
      <c r="G4" s="24"/>
      <c r="H4" s="24"/>
      <c r="I4" s="49"/>
      <c r="J4" s="49" t="s">
        <v>145</v>
      </c>
      <c r="K4" s="25" t="s">
        <v>106</v>
      </c>
    </row>
    <row r="5" spans="1:11" ht="19.5" customHeight="1" x14ac:dyDescent="0.2">
      <c r="A5" s="3"/>
      <c r="B5" s="36"/>
      <c r="C5" s="14" t="s">
        <v>65</v>
      </c>
      <c r="D5" s="14" t="s">
        <v>101</v>
      </c>
      <c r="E5" s="14" t="s">
        <v>102</v>
      </c>
      <c r="F5" s="14" t="s">
        <v>72</v>
      </c>
      <c r="G5" s="14" t="s">
        <v>73</v>
      </c>
      <c r="H5" s="14" t="s">
        <v>203</v>
      </c>
      <c r="I5" s="14" t="s">
        <v>78</v>
      </c>
      <c r="J5" s="14" t="s">
        <v>122</v>
      </c>
      <c r="K5" s="36"/>
    </row>
    <row r="6" spans="1:11" ht="26.25" customHeight="1" x14ac:dyDescent="0.2">
      <c r="A6" s="3"/>
      <c r="B6" s="39"/>
      <c r="C6" s="16" t="s">
        <v>28</v>
      </c>
      <c r="D6" s="20" t="s">
        <v>310</v>
      </c>
      <c r="E6" s="46" t="s">
        <v>148</v>
      </c>
      <c r="F6" s="16" t="s">
        <v>156</v>
      </c>
      <c r="G6" s="16" t="s">
        <v>141</v>
      </c>
      <c r="H6" s="229" t="s">
        <v>134</v>
      </c>
      <c r="I6" s="229" t="s">
        <v>133</v>
      </c>
      <c r="J6" s="501" t="s">
        <v>330</v>
      </c>
      <c r="K6" s="39"/>
    </row>
    <row r="7" spans="1:11" ht="15" customHeight="1" thickBot="1" x14ac:dyDescent="0.25">
      <c r="A7" s="3"/>
      <c r="B7" s="56" t="s">
        <v>54</v>
      </c>
      <c r="C7" s="44" t="s">
        <v>129</v>
      </c>
      <c r="D7" s="44" t="s">
        <v>129</v>
      </c>
      <c r="E7" s="56" t="s">
        <v>129</v>
      </c>
      <c r="F7" s="44" t="s">
        <v>129</v>
      </c>
      <c r="G7" s="44" t="s">
        <v>129</v>
      </c>
      <c r="H7" s="44" t="s">
        <v>128</v>
      </c>
      <c r="I7" s="44" t="s">
        <v>128</v>
      </c>
      <c r="J7" s="56"/>
      <c r="K7" s="43" t="s">
        <v>26</v>
      </c>
    </row>
    <row r="8" spans="1:11" s="289" customFormat="1" ht="15" customHeight="1" thickTop="1" x14ac:dyDescent="0.25">
      <c r="B8" s="396" t="s">
        <v>356</v>
      </c>
      <c r="C8" s="391">
        <v>4</v>
      </c>
      <c r="D8" s="391">
        <v>15</v>
      </c>
      <c r="E8" s="391">
        <v>28</v>
      </c>
      <c r="F8" s="391">
        <v>60</v>
      </c>
      <c r="G8" s="391">
        <v>17</v>
      </c>
      <c r="H8" s="391">
        <v>1322</v>
      </c>
      <c r="I8" s="391">
        <v>4008</v>
      </c>
      <c r="J8" s="392">
        <v>1646982</v>
      </c>
      <c r="K8" s="397" t="s">
        <v>357</v>
      </c>
    </row>
    <row r="9" spans="1:11" s="289" customFormat="1" ht="15" customHeight="1" x14ac:dyDescent="0.25">
      <c r="B9" s="522" t="s">
        <v>30</v>
      </c>
      <c r="C9" s="79">
        <v>8</v>
      </c>
      <c r="D9" s="79">
        <v>24</v>
      </c>
      <c r="E9" s="79">
        <v>42</v>
      </c>
      <c r="F9" s="79">
        <v>131</v>
      </c>
      <c r="G9" s="79">
        <v>22</v>
      </c>
      <c r="H9" s="79">
        <v>3166</v>
      </c>
      <c r="I9" s="79">
        <v>8837</v>
      </c>
      <c r="J9" s="76">
        <v>2979405</v>
      </c>
      <c r="K9" s="493" t="s">
        <v>31</v>
      </c>
    </row>
    <row r="10" spans="1:11" s="289" customFormat="1" ht="15" customHeight="1" x14ac:dyDescent="0.25">
      <c r="B10" s="390" t="s">
        <v>3</v>
      </c>
      <c r="C10" s="391">
        <v>10</v>
      </c>
      <c r="D10" s="391">
        <v>31</v>
      </c>
      <c r="E10" s="391">
        <v>66</v>
      </c>
      <c r="F10" s="391">
        <v>123</v>
      </c>
      <c r="G10" s="391">
        <v>40</v>
      </c>
      <c r="H10" s="391">
        <v>2561</v>
      </c>
      <c r="I10" s="391">
        <v>4449</v>
      </c>
      <c r="J10" s="392">
        <v>1485054</v>
      </c>
      <c r="K10" s="393" t="s">
        <v>15</v>
      </c>
    </row>
    <row r="11" spans="1:11" s="289" customFormat="1" ht="15" customHeight="1" x14ac:dyDescent="0.25">
      <c r="B11" s="569" t="s">
        <v>342</v>
      </c>
      <c r="C11" s="79">
        <v>13</v>
      </c>
      <c r="D11" s="79">
        <v>41</v>
      </c>
      <c r="E11" s="79">
        <v>61</v>
      </c>
      <c r="F11" s="79">
        <v>227</v>
      </c>
      <c r="G11" s="79">
        <v>46</v>
      </c>
      <c r="H11" s="79">
        <v>5041</v>
      </c>
      <c r="I11" s="79">
        <v>10755</v>
      </c>
      <c r="J11" s="76">
        <v>4096248</v>
      </c>
      <c r="K11" s="493" t="s">
        <v>337</v>
      </c>
    </row>
    <row r="12" spans="1:11" s="289" customFormat="1" ht="15" customHeight="1" x14ac:dyDescent="0.25">
      <c r="B12" s="396" t="s">
        <v>4</v>
      </c>
      <c r="C12" s="391">
        <v>62</v>
      </c>
      <c r="D12" s="391">
        <v>270</v>
      </c>
      <c r="E12" s="391">
        <v>367</v>
      </c>
      <c r="F12" s="391">
        <v>818</v>
      </c>
      <c r="G12" s="391">
        <v>272</v>
      </c>
      <c r="H12" s="391">
        <v>35515</v>
      </c>
      <c r="I12" s="391">
        <v>116019</v>
      </c>
      <c r="J12" s="392">
        <v>47943456</v>
      </c>
      <c r="K12" s="397" t="s">
        <v>16</v>
      </c>
    </row>
    <row r="13" spans="1:11" s="289" customFormat="1" ht="15" customHeight="1" x14ac:dyDescent="0.25">
      <c r="B13" s="522" t="s">
        <v>5</v>
      </c>
      <c r="C13" s="79">
        <v>1</v>
      </c>
      <c r="D13" s="79">
        <v>4</v>
      </c>
      <c r="E13" s="79">
        <v>5</v>
      </c>
      <c r="F13" s="79">
        <v>24</v>
      </c>
      <c r="G13" s="79">
        <v>16</v>
      </c>
      <c r="H13" s="79">
        <v>471</v>
      </c>
      <c r="I13" s="79">
        <v>1109</v>
      </c>
      <c r="J13" s="76">
        <v>586385</v>
      </c>
      <c r="K13" s="493" t="s">
        <v>23</v>
      </c>
    </row>
    <row r="14" spans="1:11" s="289" customFormat="1" ht="15" customHeight="1" x14ac:dyDescent="0.25">
      <c r="B14" s="396" t="s">
        <v>6</v>
      </c>
      <c r="C14" s="391">
        <v>7</v>
      </c>
      <c r="D14" s="391">
        <v>32</v>
      </c>
      <c r="E14" s="391">
        <v>29</v>
      </c>
      <c r="F14" s="391">
        <v>228</v>
      </c>
      <c r="G14" s="391">
        <v>24</v>
      </c>
      <c r="H14" s="391">
        <v>2921</v>
      </c>
      <c r="I14" s="391">
        <v>11507</v>
      </c>
      <c r="J14" s="392">
        <v>4040232</v>
      </c>
      <c r="K14" s="397" t="s">
        <v>24</v>
      </c>
    </row>
    <row r="15" spans="1:11" s="289" customFormat="1" ht="15" customHeight="1" x14ac:dyDescent="0.25">
      <c r="B15" s="522" t="s">
        <v>11</v>
      </c>
      <c r="C15" s="79">
        <v>1</v>
      </c>
      <c r="D15" s="79">
        <v>5</v>
      </c>
      <c r="E15" s="79">
        <v>4</v>
      </c>
      <c r="F15" s="79">
        <v>39</v>
      </c>
      <c r="G15" s="79">
        <v>2</v>
      </c>
      <c r="H15" s="79">
        <v>428</v>
      </c>
      <c r="I15" s="79">
        <v>2594</v>
      </c>
      <c r="J15" s="76">
        <v>894900</v>
      </c>
      <c r="K15" s="493" t="s">
        <v>21</v>
      </c>
    </row>
    <row r="16" spans="1:11" s="289" customFormat="1" ht="18" customHeight="1" x14ac:dyDescent="0.25">
      <c r="B16" s="396" t="s">
        <v>2</v>
      </c>
      <c r="C16" s="391">
        <v>1</v>
      </c>
      <c r="D16" s="391">
        <v>4</v>
      </c>
      <c r="E16" s="391">
        <v>6</v>
      </c>
      <c r="F16" s="391">
        <v>24</v>
      </c>
      <c r="G16" s="391">
        <v>5</v>
      </c>
      <c r="H16" s="391">
        <v>253</v>
      </c>
      <c r="I16" s="391">
        <v>530</v>
      </c>
      <c r="J16" s="392">
        <v>181350</v>
      </c>
      <c r="K16" s="398" t="s">
        <v>14</v>
      </c>
    </row>
    <row r="17" spans="2:12" s="289" customFormat="1" ht="15" customHeight="1" x14ac:dyDescent="0.25">
      <c r="B17" s="522" t="s">
        <v>7</v>
      </c>
      <c r="C17" s="79">
        <v>4</v>
      </c>
      <c r="D17" s="79">
        <v>17</v>
      </c>
      <c r="E17" s="79">
        <v>19</v>
      </c>
      <c r="F17" s="79">
        <v>67</v>
      </c>
      <c r="G17" s="79">
        <v>20</v>
      </c>
      <c r="H17" s="79">
        <v>1028</v>
      </c>
      <c r="I17" s="79">
        <v>3844</v>
      </c>
      <c r="J17" s="76">
        <v>1522719</v>
      </c>
      <c r="K17" s="493" t="s">
        <v>17</v>
      </c>
    </row>
    <row r="18" spans="2:12" s="289" customFormat="1" ht="15" customHeight="1" x14ac:dyDescent="0.25">
      <c r="B18" s="396" t="s">
        <v>8</v>
      </c>
      <c r="C18" s="391">
        <v>2</v>
      </c>
      <c r="D18" s="391">
        <v>5</v>
      </c>
      <c r="E18" s="391">
        <v>9</v>
      </c>
      <c r="F18" s="391">
        <v>15</v>
      </c>
      <c r="G18" s="391">
        <v>4</v>
      </c>
      <c r="H18" s="391">
        <v>1887</v>
      </c>
      <c r="I18" s="391">
        <v>2475</v>
      </c>
      <c r="J18" s="392">
        <v>844857</v>
      </c>
      <c r="K18" s="397" t="s">
        <v>18</v>
      </c>
    </row>
    <row r="19" spans="2:12" s="289" customFormat="1" ht="15" customHeight="1" x14ac:dyDescent="0.25">
      <c r="B19" s="522" t="s">
        <v>9</v>
      </c>
      <c r="C19" s="79">
        <v>4</v>
      </c>
      <c r="D19" s="79">
        <v>11</v>
      </c>
      <c r="E19" s="79">
        <v>11</v>
      </c>
      <c r="F19" s="79">
        <v>33</v>
      </c>
      <c r="G19" s="79">
        <v>11</v>
      </c>
      <c r="H19" s="79">
        <v>893</v>
      </c>
      <c r="I19" s="79">
        <v>2422</v>
      </c>
      <c r="J19" s="76">
        <v>964800</v>
      </c>
      <c r="K19" s="493" t="s">
        <v>19</v>
      </c>
    </row>
    <row r="20" spans="2:12" s="289" customFormat="1" ht="15" customHeight="1" x14ac:dyDescent="0.25">
      <c r="B20" s="396" t="s">
        <v>10</v>
      </c>
      <c r="C20" s="391">
        <v>5</v>
      </c>
      <c r="D20" s="391">
        <v>20</v>
      </c>
      <c r="E20" s="391">
        <v>20</v>
      </c>
      <c r="F20" s="391">
        <v>56</v>
      </c>
      <c r="G20" s="391">
        <v>10</v>
      </c>
      <c r="H20" s="391">
        <v>1568</v>
      </c>
      <c r="I20" s="391">
        <v>4322</v>
      </c>
      <c r="J20" s="392">
        <v>1303917</v>
      </c>
      <c r="K20" s="397" t="s">
        <v>20</v>
      </c>
    </row>
    <row r="21" spans="2:12" s="289" customFormat="1" ht="15" customHeight="1" thickBot="1" x14ac:dyDescent="0.3">
      <c r="B21" s="396" t="s">
        <v>13</v>
      </c>
      <c r="C21" s="391">
        <v>4</v>
      </c>
      <c r="D21" s="391">
        <v>15</v>
      </c>
      <c r="E21" s="391">
        <v>14</v>
      </c>
      <c r="F21" s="391">
        <v>49</v>
      </c>
      <c r="G21" s="391">
        <v>4</v>
      </c>
      <c r="H21" s="391">
        <v>1837</v>
      </c>
      <c r="I21" s="391">
        <v>7415</v>
      </c>
      <c r="J21" s="392">
        <v>2625537</v>
      </c>
      <c r="K21" s="397" t="s">
        <v>22</v>
      </c>
    </row>
    <row r="22" spans="2:12" ht="18.75" customHeight="1" thickBot="1" x14ac:dyDescent="0.25">
      <c r="B22" s="184" t="s">
        <v>0</v>
      </c>
      <c r="C22" s="183">
        <f t="shared" ref="C22:J22" si="0">SUM(C8:C21)</f>
        <v>126</v>
      </c>
      <c r="D22" s="183">
        <f t="shared" si="0"/>
        <v>494</v>
      </c>
      <c r="E22" s="183">
        <f t="shared" si="0"/>
        <v>681</v>
      </c>
      <c r="F22" s="183">
        <f t="shared" si="0"/>
        <v>1894</v>
      </c>
      <c r="G22" s="183">
        <f t="shared" si="0"/>
        <v>493</v>
      </c>
      <c r="H22" s="183">
        <f t="shared" si="0"/>
        <v>58891</v>
      </c>
      <c r="I22" s="183">
        <f t="shared" si="0"/>
        <v>180286</v>
      </c>
      <c r="J22" s="183">
        <f t="shared" si="0"/>
        <v>71115842</v>
      </c>
      <c r="K22" s="185" t="s">
        <v>1</v>
      </c>
    </row>
    <row r="23" spans="2:12" ht="13.5" thickTop="1" x14ac:dyDescent="0.2">
      <c r="B23" s="917"/>
      <c r="C23" s="917"/>
      <c r="D23" s="917"/>
      <c r="E23" s="917"/>
      <c r="F23" s="917"/>
    </row>
    <row r="24" spans="2:12" x14ac:dyDescent="0.2">
      <c r="B24" s="13"/>
      <c r="C24" s="13"/>
      <c r="D24" s="13"/>
      <c r="E24" s="13"/>
      <c r="F24" s="13"/>
      <c r="K24" s="7"/>
      <c r="L24" s="7"/>
    </row>
  </sheetData>
  <mergeCells count="5">
    <mergeCell ref="B1:K1"/>
    <mergeCell ref="B4:C4"/>
    <mergeCell ref="D4:E4"/>
    <mergeCell ref="B2:K2"/>
    <mergeCell ref="B23:F23"/>
  </mergeCells>
  <phoneticPr fontId="3" type="noConversion"/>
  <printOptions horizontalCentered="1" verticalCentered="1"/>
  <pageMargins left="0.25" right="0.4" top="0.75" bottom="0.75" header="0.3" footer="0.3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:S14"/>
  <sheetViews>
    <sheetView rightToLeft="1" zoomScaleNormal="100" zoomScaleSheetLayoutView="100" workbookViewId="0">
      <selection activeCell="B6" sqref="B6:I8"/>
    </sheetView>
  </sheetViews>
  <sheetFormatPr defaultRowHeight="12.75" x14ac:dyDescent="0.2"/>
  <cols>
    <col min="1" max="1" width="0.28515625" customWidth="1"/>
    <col min="2" max="2" width="12.140625" customWidth="1"/>
    <col min="3" max="3" width="12.140625" style="6" customWidth="1"/>
    <col min="4" max="5" width="10" style="6" customWidth="1"/>
    <col min="6" max="6" width="11.28515625" style="6" customWidth="1"/>
    <col min="7" max="7" width="11" customWidth="1"/>
    <col min="8" max="8" width="17.42578125" bestFit="1" customWidth="1"/>
    <col min="9" max="9" width="20.140625" customWidth="1"/>
    <col min="10" max="10" width="15" customWidth="1"/>
  </cols>
  <sheetData>
    <row r="1" spans="2:19" ht="15" customHeight="1" x14ac:dyDescent="0.2">
      <c r="B1" s="903" t="s">
        <v>407</v>
      </c>
      <c r="C1" s="903"/>
      <c r="D1" s="903"/>
      <c r="E1" s="903"/>
      <c r="F1" s="903"/>
      <c r="G1" s="903"/>
      <c r="H1" s="903"/>
      <c r="I1" s="903"/>
      <c r="J1" s="903"/>
    </row>
    <row r="2" spans="2:19" ht="15.75" customHeight="1" x14ac:dyDescent="0.2">
      <c r="B2" s="911" t="s">
        <v>408</v>
      </c>
      <c r="C2" s="911"/>
      <c r="D2" s="911"/>
      <c r="E2" s="911"/>
      <c r="F2" s="911"/>
      <c r="G2" s="911"/>
      <c r="H2" s="911"/>
      <c r="I2" s="911"/>
      <c r="J2" s="911"/>
    </row>
    <row r="3" spans="2:19" x14ac:dyDescent="0.2">
      <c r="B3" s="911"/>
      <c r="C3" s="911"/>
      <c r="D3" s="911"/>
      <c r="E3" s="911"/>
      <c r="F3" s="911"/>
      <c r="G3" s="911"/>
      <c r="H3" s="911"/>
      <c r="I3" s="911"/>
      <c r="J3" s="911"/>
    </row>
    <row r="4" spans="2:19" s="6" customFormat="1" ht="15" x14ac:dyDescent="0.2">
      <c r="B4" s="205"/>
      <c r="C4" s="260"/>
      <c r="D4" s="260"/>
      <c r="E4" s="260"/>
      <c r="F4" s="260"/>
      <c r="G4" s="205"/>
      <c r="H4" s="205"/>
      <c r="I4" s="205"/>
      <c r="J4" s="215" t="s">
        <v>477</v>
      </c>
    </row>
    <row r="5" spans="2:19" ht="15" customHeight="1" thickBot="1" x14ac:dyDescent="0.3">
      <c r="B5" s="250" t="s">
        <v>373</v>
      </c>
      <c r="C5" s="261" t="s">
        <v>391</v>
      </c>
      <c r="D5" s="261"/>
      <c r="E5" s="261"/>
      <c r="F5" s="261"/>
      <c r="G5" s="24"/>
      <c r="H5" s="909" t="s">
        <v>311</v>
      </c>
      <c r="I5" s="909"/>
      <c r="J5" s="25" t="s">
        <v>107</v>
      </c>
    </row>
    <row r="6" spans="2:19" ht="60" customHeight="1" x14ac:dyDescent="0.25">
      <c r="B6" s="896"/>
      <c r="C6" s="896" t="s">
        <v>27</v>
      </c>
      <c r="D6" s="896" t="s">
        <v>340</v>
      </c>
      <c r="E6" s="896" t="s">
        <v>102</v>
      </c>
      <c r="F6" s="896" t="s">
        <v>341</v>
      </c>
      <c r="G6" s="509" t="s">
        <v>103</v>
      </c>
      <c r="H6" s="509" t="s">
        <v>78</v>
      </c>
      <c r="I6" s="509" t="s">
        <v>204</v>
      </c>
      <c r="J6" s="36"/>
    </row>
    <row r="7" spans="2:19" ht="25.5" customHeight="1" x14ac:dyDescent="0.25">
      <c r="B7" s="895"/>
      <c r="C7" s="895" t="s">
        <v>28</v>
      </c>
      <c r="D7" s="895" t="s">
        <v>310</v>
      </c>
      <c r="E7" s="895" t="s">
        <v>148</v>
      </c>
      <c r="F7" s="895" t="s">
        <v>156</v>
      </c>
      <c r="G7" s="507" t="s">
        <v>141</v>
      </c>
      <c r="H7" s="507" t="s">
        <v>133</v>
      </c>
      <c r="I7" s="508" t="s">
        <v>135</v>
      </c>
      <c r="J7" s="39"/>
    </row>
    <row r="8" spans="2:19" ht="36.75" customHeight="1" thickBot="1" x14ac:dyDescent="0.25">
      <c r="B8" s="303" t="s">
        <v>52</v>
      </c>
      <c r="C8" s="45" t="s">
        <v>129</v>
      </c>
      <c r="D8" s="45" t="s">
        <v>129</v>
      </c>
      <c r="E8" s="45" t="s">
        <v>129</v>
      </c>
      <c r="F8" s="45" t="s">
        <v>129</v>
      </c>
      <c r="G8" s="45" t="s">
        <v>129</v>
      </c>
      <c r="H8" s="45" t="s">
        <v>128</v>
      </c>
      <c r="I8" s="303"/>
      <c r="J8" s="43" t="s">
        <v>26</v>
      </c>
    </row>
    <row r="9" spans="2:19" s="151" customFormat="1" ht="15" customHeight="1" thickTop="1" x14ac:dyDescent="0.25">
      <c r="B9" s="53" t="s">
        <v>4</v>
      </c>
      <c r="C9" s="54">
        <v>4</v>
      </c>
      <c r="D9" s="54">
        <v>11</v>
      </c>
      <c r="E9" s="54">
        <v>7</v>
      </c>
      <c r="F9" s="54">
        <v>24</v>
      </c>
      <c r="G9" s="78">
        <v>19</v>
      </c>
      <c r="H9" s="78">
        <v>3098</v>
      </c>
      <c r="I9" s="153">
        <v>1261244</v>
      </c>
      <c r="J9" s="54" t="s">
        <v>16</v>
      </c>
    </row>
    <row r="10" spans="2:19" ht="15" customHeight="1" x14ac:dyDescent="0.2">
      <c r="B10" s="656" t="s">
        <v>6</v>
      </c>
      <c r="C10" s="657">
        <v>2</v>
      </c>
      <c r="D10" s="657">
        <v>3</v>
      </c>
      <c r="E10" s="657">
        <v>5</v>
      </c>
      <c r="F10" s="657">
        <v>24</v>
      </c>
      <c r="G10" s="657">
        <v>7</v>
      </c>
      <c r="H10" s="657">
        <v>566</v>
      </c>
      <c r="I10" s="658">
        <v>168223</v>
      </c>
      <c r="J10" s="657" t="s">
        <v>24</v>
      </c>
    </row>
    <row r="11" spans="2:19" s="151" customFormat="1" ht="15" customHeight="1" x14ac:dyDescent="0.2">
      <c r="B11" s="53" t="s">
        <v>10</v>
      </c>
      <c r="C11" s="54">
        <v>1</v>
      </c>
      <c r="D11" s="54">
        <v>4</v>
      </c>
      <c r="E11" s="54">
        <v>3</v>
      </c>
      <c r="F11" s="54">
        <v>9</v>
      </c>
      <c r="G11" s="54">
        <v>4</v>
      </c>
      <c r="H11" s="54">
        <v>314</v>
      </c>
      <c r="I11" s="479">
        <v>78400</v>
      </c>
      <c r="J11" s="646" t="s">
        <v>20</v>
      </c>
    </row>
    <row r="12" spans="2:19" s="290" customFormat="1" ht="15" customHeight="1" thickBot="1" x14ac:dyDescent="0.25">
      <c r="B12" s="656" t="s">
        <v>339</v>
      </c>
      <c r="C12" s="657">
        <v>1</v>
      </c>
      <c r="D12" s="657">
        <v>0</v>
      </c>
      <c r="E12" s="657">
        <v>0</v>
      </c>
      <c r="F12" s="657">
        <v>6</v>
      </c>
      <c r="G12" s="657">
        <v>0</v>
      </c>
      <c r="H12" s="657">
        <v>660</v>
      </c>
      <c r="I12" s="658">
        <v>264000</v>
      </c>
      <c r="J12" s="657" t="s">
        <v>22</v>
      </c>
      <c r="K12" s="151"/>
      <c r="L12" s="151"/>
      <c r="M12" s="151"/>
      <c r="N12" s="151"/>
      <c r="O12" s="151"/>
      <c r="P12" s="151"/>
      <c r="Q12" s="151"/>
      <c r="R12" s="151"/>
      <c r="S12" s="151"/>
    </row>
    <row r="13" spans="2:19" s="328" customFormat="1" ht="16.5" customHeight="1" thickBot="1" x14ac:dyDescent="0.25">
      <c r="B13" s="382" t="s">
        <v>0</v>
      </c>
      <c r="C13" s="383">
        <f t="shared" ref="C13:I13" si="0">SUM(C9:C12)</f>
        <v>8</v>
      </c>
      <c r="D13" s="383">
        <f t="shared" si="0"/>
        <v>18</v>
      </c>
      <c r="E13" s="383">
        <f t="shared" si="0"/>
        <v>15</v>
      </c>
      <c r="F13" s="383">
        <f t="shared" si="0"/>
        <v>63</v>
      </c>
      <c r="G13" s="329">
        <f t="shared" si="0"/>
        <v>30</v>
      </c>
      <c r="H13" s="329">
        <f t="shared" si="0"/>
        <v>4638</v>
      </c>
      <c r="I13" s="329">
        <f t="shared" si="0"/>
        <v>1771867</v>
      </c>
      <c r="J13" s="384" t="s">
        <v>1</v>
      </c>
    </row>
    <row r="14" spans="2:19" x14ac:dyDescent="0.2">
      <c r="B14" s="6"/>
      <c r="H14" s="381"/>
      <c r="J14" s="6"/>
      <c r="K14" s="6"/>
    </row>
  </sheetData>
  <mergeCells count="3">
    <mergeCell ref="B1:J1"/>
    <mergeCell ref="B2:J3"/>
    <mergeCell ref="H5:I5"/>
  </mergeCells>
  <phoneticPr fontId="3" type="noConversion"/>
  <printOptions horizontalCentered="1" verticalCentered="1"/>
  <pageMargins left="0.93" right="0.82" top="1.0374015750000001" bottom="0.98425196850393704" header="0.78740157480314998" footer="0.511811023622047"/>
  <pageSetup orientation="landscape" verticalDpi="300" r:id="rId1"/>
  <headerFooter alignWithMargins="0">
    <oddFooter>&amp;C16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18"/>
  <sheetViews>
    <sheetView rightToLeft="1" topLeftCell="B1" zoomScaleSheetLayoutView="100" workbookViewId="0">
      <selection activeCell="H33" sqref="H33"/>
    </sheetView>
  </sheetViews>
  <sheetFormatPr defaultRowHeight="12.75" x14ac:dyDescent="0.2"/>
  <cols>
    <col min="1" max="1" width="1.85546875" hidden="1" customWidth="1"/>
    <col min="2" max="2" width="14.5703125" customWidth="1"/>
    <col min="3" max="3" width="11" customWidth="1"/>
    <col min="4" max="4" width="11" style="6" customWidth="1"/>
    <col min="5" max="5" width="11.7109375" style="302" customWidth="1"/>
    <col min="6" max="7" width="16.42578125" customWidth="1"/>
    <col min="8" max="8" width="19.28515625" customWidth="1"/>
    <col min="9" max="9" width="15.5703125" customWidth="1"/>
    <col min="10" max="10" width="2" customWidth="1"/>
  </cols>
  <sheetData>
    <row r="1" spans="1:10" ht="15" x14ac:dyDescent="0.25">
      <c r="A1" s="18"/>
      <c r="B1" s="903" t="s">
        <v>409</v>
      </c>
      <c r="C1" s="903"/>
      <c r="D1" s="903"/>
      <c r="E1" s="903"/>
      <c r="F1" s="903"/>
      <c r="G1" s="903"/>
      <c r="H1" s="903"/>
      <c r="I1" s="903"/>
    </row>
    <row r="2" spans="1:10" ht="15" customHeight="1" x14ac:dyDescent="0.25">
      <c r="A2" s="18"/>
      <c r="B2" s="924" t="s">
        <v>410</v>
      </c>
      <c r="C2" s="924"/>
      <c r="D2" s="924"/>
      <c r="E2" s="924"/>
      <c r="F2" s="924"/>
      <c r="G2" s="924"/>
      <c r="H2" s="924"/>
      <c r="I2" s="924"/>
    </row>
    <row r="3" spans="1:10" ht="16.5" customHeight="1" x14ac:dyDescent="0.25">
      <c r="A3" s="18"/>
      <c r="B3" s="924"/>
      <c r="C3" s="924"/>
      <c r="D3" s="924"/>
      <c r="E3" s="924"/>
      <c r="F3" s="924"/>
      <c r="G3" s="924"/>
      <c r="H3" s="924"/>
      <c r="I3" s="924"/>
    </row>
    <row r="4" spans="1:10" s="6" customFormat="1" ht="16.5" customHeight="1" x14ac:dyDescent="0.25">
      <c r="A4" s="18"/>
      <c r="B4" s="208"/>
      <c r="C4" s="208"/>
      <c r="D4" s="475"/>
      <c r="E4" s="300"/>
      <c r="F4" s="208"/>
      <c r="G4" s="208"/>
      <c r="H4" s="926" t="s">
        <v>477</v>
      </c>
      <c r="I4" s="926"/>
      <c r="J4" s="216"/>
    </row>
    <row r="5" spans="1:10" ht="15" customHeight="1" thickBot="1" x14ac:dyDescent="0.3">
      <c r="A5" s="18"/>
      <c r="B5" s="925" t="s">
        <v>393</v>
      </c>
      <c r="C5" s="925"/>
      <c r="D5" s="476"/>
      <c r="E5" s="50"/>
      <c r="F5" s="18"/>
      <c r="G5" s="919" t="s">
        <v>145</v>
      </c>
      <c r="H5" s="919"/>
      <c r="I5" s="50" t="s">
        <v>182</v>
      </c>
    </row>
    <row r="6" spans="1:10" ht="34.5" customHeight="1" x14ac:dyDescent="0.25">
      <c r="A6" s="18"/>
      <c r="B6" s="38"/>
      <c r="C6" s="62" t="s">
        <v>114</v>
      </c>
      <c r="D6" s="306" t="s">
        <v>388</v>
      </c>
      <c r="E6" s="292" t="s">
        <v>358</v>
      </c>
      <c r="F6" s="62" t="s">
        <v>115</v>
      </c>
      <c r="G6" s="62" t="s">
        <v>78</v>
      </c>
      <c r="H6" s="499" t="s">
        <v>125</v>
      </c>
      <c r="I6" s="38"/>
    </row>
    <row r="7" spans="1:10" ht="30.75" customHeight="1" x14ac:dyDescent="0.25">
      <c r="A7" s="41"/>
      <c r="B7" s="18"/>
      <c r="C7" s="305" t="s">
        <v>287</v>
      </c>
      <c r="D7" s="305"/>
      <c r="E7" s="299"/>
      <c r="F7" s="305" t="s">
        <v>139</v>
      </c>
      <c r="G7" s="46" t="s">
        <v>138</v>
      </c>
      <c r="H7" s="500" t="s">
        <v>135</v>
      </c>
      <c r="I7" s="18"/>
    </row>
    <row r="8" spans="1:10" ht="24" customHeight="1" thickBot="1" x14ac:dyDescent="0.25">
      <c r="A8" s="923" t="s">
        <v>54</v>
      </c>
      <c r="B8" s="923"/>
      <c r="C8" s="56" t="s">
        <v>129</v>
      </c>
      <c r="D8" s="477" t="s">
        <v>392</v>
      </c>
      <c r="E8" s="504" t="s">
        <v>392</v>
      </c>
      <c r="F8" s="56" t="s">
        <v>128</v>
      </c>
      <c r="G8" s="56" t="s">
        <v>128</v>
      </c>
      <c r="H8" s="56"/>
      <c r="I8" s="59" t="s">
        <v>26</v>
      </c>
    </row>
    <row r="9" spans="1:10" s="289" customFormat="1" ht="15" customHeight="1" thickTop="1" x14ac:dyDescent="0.25">
      <c r="A9" s="288"/>
      <c r="B9" s="741" t="s">
        <v>356</v>
      </c>
      <c r="C9" s="79">
        <v>1</v>
      </c>
      <c r="D9" s="79">
        <v>1</v>
      </c>
      <c r="E9" s="170">
        <v>1</v>
      </c>
      <c r="F9" s="79">
        <v>1299</v>
      </c>
      <c r="G9" s="79">
        <v>992</v>
      </c>
      <c r="H9" s="76">
        <v>294959</v>
      </c>
      <c r="I9" s="493" t="s">
        <v>357</v>
      </c>
    </row>
    <row r="10" spans="1:10" s="289" customFormat="1" ht="15" customHeight="1" x14ac:dyDescent="0.25">
      <c r="A10" s="288"/>
      <c r="B10" s="390" t="s">
        <v>3</v>
      </c>
      <c r="C10" s="391">
        <v>0</v>
      </c>
      <c r="D10" s="391">
        <v>0</v>
      </c>
      <c r="E10" s="412">
        <v>1</v>
      </c>
      <c r="F10" s="391">
        <v>108</v>
      </c>
      <c r="G10" s="391">
        <v>108</v>
      </c>
      <c r="H10" s="392">
        <v>27000</v>
      </c>
      <c r="I10" s="397" t="s">
        <v>15</v>
      </c>
    </row>
    <row r="11" spans="1:10" s="289" customFormat="1" ht="15" customHeight="1" x14ac:dyDescent="0.25">
      <c r="A11" s="288"/>
      <c r="B11" s="486" t="s">
        <v>4</v>
      </c>
      <c r="C11" s="79">
        <v>4</v>
      </c>
      <c r="D11" s="79">
        <v>1</v>
      </c>
      <c r="E11" s="170">
        <v>0</v>
      </c>
      <c r="F11" s="79">
        <v>8568</v>
      </c>
      <c r="G11" s="79">
        <v>10665</v>
      </c>
      <c r="H11" s="76">
        <v>4037618</v>
      </c>
      <c r="I11" s="170" t="s">
        <v>16</v>
      </c>
    </row>
    <row r="12" spans="1:10" s="289" customFormat="1" ht="15" customHeight="1" x14ac:dyDescent="0.25">
      <c r="A12" s="288"/>
      <c r="B12" s="390" t="s">
        <v>5</v>
      </c>
      <c r="C12" s="391">
        <v>1</v>
      </c>
      <c r="D12" s="391">
        <v>0</v>
      </c>
      <c r="E12" s="412">
        <v>0</v>
      </c>
      <c r="F12" s="391">
        <v>727</v>
      </c>
      <c r="G12" s="391">
        <v>251</v>
      </c>
      <c r="H12" s="392">
        <v>123453</v>
      </c>
      <c r="I12" s="412" t="s">
        <v>23</v>
      </c>
    </row>
    <row r="13" spans="1:10" s="289" customFormat="1" ht="15" customHeight="1" x14ac:dyDescent="0.25">
      <c r="A13" s="288"/>
      <c r="B13" s="486" t="s">
        <v>6</v>
      </c>
      <c r="C13" s="79">
        <v>6</v>
      </c>
      <c r="D13" s="79">
        <v>0</v>
      </c>
      <c r="E13" s="170">
        <v>0</v>
      </c>
      <c r="F13" s="79">
        <v>2593</v>
      </c>
      <c r="G13" s="79">
        <v>3388</v>
      </c>
      <c r="H13" s="76">
        <v>1011854</v>
      </c>
      <c r="I13" s="170" t="s">
        <v>24</v>
      </c>
    </row>
    <row r="14" spans="1:10" s="289" customFormat="1" ht="15" customHeight="1" thickBot="1" x14ac:dyDescent="0.3">
      <c r="A14" s="288"/>
      <c r="B14" s="390" t="s">
        <v>10</v>
      </c>
      <c r="C14" s="391">
        <v>0</v>
      </c>
      <c r="D14" s="391">
        <v>0</v>
      </c>
      <c r="E14" s="412">
        <v>0</v>
      </c>
      <c r="F14" s="391">
        <v>148</v>
      </c>
      <c r="G14" s="391">
        <v>52</v>
      </c>
      <c r="H14" s="392">
        <v>12950</v>
      </c>
      <c r="I14" s="412" t="s">
        <v>18</v>
      </c>
    </row>
    <row r="15" spans="1:10" s="289" customFormat="1" ht="17.25" customHeight="1" thickBot="1" x14ac:dyDescent="0.25">
      <c r="A15" s="416"/>
      <c r="B15" s="417" t="s">
        <v>0</v>
      </c>
      <c r="C15" s="418">
        <f t="shared" ref="C15:H15" si="0">SUM(C9:C14)</f>
        <v>12</v>
      </c>
      <c r="D15" s="418">
        <f t="shared" si="0"/>
        <v>2</v>
      </c>
      <c r="E15" s="418">
        <f t="shared" si="0"/>
        <v>2</v>
      </c>
      <c r="F15" s="418">
        <f t="shared" si="0"/>
        <v>13443</v>
      </c>
      <c r="G15" s="418">
        <f t="shared" si="0"/>
        <v>15456</v>
      </c>
      <c r="H15" s="659">
        <f t="shared" si="0"/>
        <v>5507834</v>
      </c>
      <c r="I15" s="419" t="s">
        <v>1</v>
      </c>
    </row>
    <row r="16" spans="1:10" ht="13.5" thickTop="1" x14ac:dyDescent="0.2">
      <c r="B16" s="388" t="s">
        <v>481</v>
      </c>
      <c r="C16" s="388"/>
      <c r="D16" s="388"/>
      <c r="E16" s="388"/>
      <c r="F16" s="388"/>
      <c r="G16" s="388"/>
    </row>
    <row r="17" spans="2:9" ht="14.25" customHeight="1" x14ac:dyDescent="0.2">
      <c r="B17" s="922"/>
      <c r="C17" s="897"/>
      <c r="D17" s="897"/>
      <c r="E17" s="897"/>
      <c r="F17" s="897"/>
      <c r="G17" s="897"/>
      <c r="H17" s="897"/>
      <c r="I17" s="897"/>
    </row>
    <row r="18" spans="2:9" x14ac:dyDescent="0.2">
      <c r="B18" s="897"/>
      <c r="C18" s="897"/>
      <c r="D18" s="897"/>
      <c r="E18" s="897"/>
      <c r="F18" s="897"/>
      <c r="G18" s="897"/>
      <c r="H18" s="897"/>
      <c r="I18" s="897"/>
    </row>
  </sheetData>
  <mergeCells count="7">
    <mergeCell ref="B17:I18"/>
    <mergeCell ref="A8:B8"/>
    <mergeCell ref="B1:I1"/>
    <mergeCell ref="B2:I3"/>
    <mergeCell ref="B5:C5"/>
    <mergeCell ref="H4:I4"/>
    <mergeCell ref="G5:H5"/>
  </mergeCells>
  <phoneticPr fontId="3" type="noConversion"/>
  <printOptions horizontalCentered="1" verticalCentered="1"/>
  <pageMargins left="0.66666666666666663" right="1.02" top="1.0374015750000001" bottom="0.98425196850393704" header="0.78740157480314998" footer="0.511811023622047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5</vt:i4>
      </vt:variant>
    </vt:vector>
  </HeadingPairs>
  <TitlesOfParts>
    <vt:vector size="49" baseType="lpstr">
      <vt:lpstr>الكلفه 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رمل</vt:lpstr>
      <vt:lpstr>حصى</vt:lpstr>
      <vt:lpstr>مخطط الحصى</vt:lpstr>
      <vt:lpstr>سمنت</vt:lpstr>
      <vt:lpstr>جص</vt:lpstr>
      <vt:lpstr>مخطط الجص والاسمنت</vt:lpstr>
      <vt:lpstr>كاشي 1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Sheet3</vt:lpstr>
      <vt:lpstr>Sheet1</vt:lpstr>
      <vt:lpstr>'الكلفه  للسنوات'!Print_Area</vt:lpstr>
      <vt:lpstr>'عمارات تجاريه ج'!Print_Area</vt:lpstr>
      <vt:lpstr>'عمارات تجاريه م'!Print_Area</vt:lpstr>
      <vt:lpstr>'مخطط الطابوق والبلوك'!Print_Area</vt:lpstr>
      <vt:lpstr>'مواد انشائيه4'!Print_Area</vt:lpstr>
    </vt:vector>
  </TitlesOfParts>
  <Company>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Luna Rashed</cp:lastModifiedBy>
  <cp:lastPrinted>2021-08-29T05:15:29Z</cp:lastPrinted>
  <dcterms:created xsi:type="dcterms:W3CDTF">2008-12-28T17:21:03Z</dcterms:created>
  <dcterms:modified xsi:type="dcterms:W3CDTF">2021-08-29T05:16:33Z</dcterms:modified>
</cp:coreProperties>
</file>